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7f76f404f05041e9/Schule/996_Fachschaft Sozialkunde/Landtagswahl 2026/"/>
    </mc:Choice>
  </mc:AlternateContent>
  <xr:revisionPtr revIDLastSave="54" documentId="11_BE86B09E457C264CB54955EF7DA634D25B8BDC61" xr6:coauthVersionLast="47" xr6:coauthVersionMax="47" xr10:uidLastSave="{4CE58776-F997-4493-AE78-E29FAECF9A61}"/>
  <bookViews>
    <workbookView xWindow="13728" yWindow="0" windowWidth="14016" windowHeight="17808" tabRatio="500" activeTab="3" xr2:uid="{00000000-000D-0000-FFFF-FFFF00000000}"/>
  </bookViews>
  <sheets>
    <sheet name="Anleitung" sheetId="1" r:id="rId1"/>
    <sheet name="Beteiligung" sheetId="2" r:id="rId2"/>
    <sheet name="Auszählung" sheetId="3" r:id="rId3"/>
    <sheet name="Ergebnis" sheetId="4" r:id="rId4"/>
    <sheet name="Sitzverteilung" sheetId="5" r:id="rId5"/>
    <sheet name="Vergleich" sheetId="6" r:id="rId6"/>
  </sheets>
  <definedNames>
    <definedName name="_xlnm.Print_Area" localSheetId="2">Auszählung!$A$1:$H$27</definedName>
    <definedName name="_xlnm.Print_Area" localSheetId="1">Beteiligung!$A$1:$C$14</definedName>
    <definedName name="_xlnm.Print_Area" localSheetId="3">Ergebnis!$A$1:$M$46</definedName>
    <definedName name="_xlnm.Print_Area" localSheetId="4">Sitzverteilung!$A$1:$K$33</definedName>
    <definedName name="_xlnm.Print_Area" localSheetId="5">Vergleich!$A$1:$F$25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5" i="3" l="1"/>
  <c r="H14" i="3"/>
  <c r="H22" i="3" s="1"/>
  <c r="B9" i="4" s="1"/>
  <c r="H11" i="3"/>
  <c r="H11" i="4" s="1"/>
  <c r="B13" i="5" s="1"/>
  <c r="H10" i="3"/>
  <c r="H10" i="4" s="1"/>
  <c r="B12" i="5" s="1"/>
  <c r="H9" i="3"/>
  <c r="H8" i="3"/>
  <c r="H8" i="4" s="1"/>
  <c r="B10" i="5" s="1"/>
  <c r="H7" i="3"/>
  <c r="H7" i="4" s="1"/>
  <c r="B9" i="5" s="1"/>
  <c r="H6" i="3"/>
  <c r="H6" i="4" s="1"/>
  <c r="D14" i="3"/>
  <c r="C22" i="4" s="1"/>
  <c r="D12" i="3"/>
  <c r="C20" i="4" s="1"/>
  <c r="D11" i="3"/>
  <c r="C19" i="4" s="1"/>
  <c r="D10" i="3"/>
  <c r="C18" i="4" s="1"/>
  <c r="D9" i="3"/>
  <c r="C17" i="4" s="1"/>
  <c r="D8" i="3"/>
  <c r="D7" i="3"/>
  <c r="D6" i="3"/>
  <c r="C14" i="4" s="1"/>
  <c r="B5" i="2"/>
  <c r="B6" i="4" s="1"/>
  <c r="B4" i="2"/>
  <c r="B5" i="4" s="1"/>
  <c r="D21" i="6"/>
  <c r="B27" i="5"/>
  <c r="B14" i="5"/>
  <c r="H21" i="4"/>
  <c r="C21" i="4"/>
  <c r="H20" i="4"/>
  <c r="B22" i="5" s="1"/>
  <c r="H19" i="4"/>
  <c r="B21" i="5" s="1"/>
  <c r="H18" i="4"/>
  <c r="B20" i="5" s="1"/>
  <c r="H17" i="4"/>
  <c r="B19" i="5" s="1"/>
  <c r="H16" i="4"/>
  <c r="B18" i="5" s="1"/>
  <c r="C16" i="4"/>
  <c r="H15" i="4"/>
  <c r="B17" i="5" s="1"/>
  <c r="C15" i="4"/>
  <c r="H14" i="4"/>
  <c r="B16" i="5" s="1"/>
  <c r="H13" i="4"/>
  <c r="B15" i="5" s="1"/>
  <c r="H12" i="4"/>
  <c r="H9" i="4"/>
  <c r="B11" i="5" s="1"/>
  <c r="B7" i="4"/>
  <c r="B21" i="6" s="1"/>
  <c r="F21" i="6" s="1"/>
  <c r="B7" i="2"/>
  <c r="D15" i="3" l="1"/>
  <c r="B8" i="4" s="1"/>
  <c r="D16" i="4" s="1"/>
  <c r="J12" i="4"/>
  <c r="I16" i="4"/>
  <c r="B15" i="6" s="1"/>
  <c r="F15" i="6" s="1"/>
  <c r="J20" i="4"/>
  <c r="H23" i="3"/>
  <c r="J6" i="4"/>
  <c r="B8" i="5"/>
  <c r="B24" i="5" s="1"/>
  <c r="J19" i="4"/>
  <c r="J15" i="4"/>
  <c r="C23" i="4"/>
  <c r="D16" i="3"/>
  <c r="J14" i="4"/>
  <c r="I20" i="4"/>
  <c r="B19" i="6" s="1"/>
  <c r="F19" i="6" s="1"/>
  <c r="I15" i="4"/>
  <c r="B14" i="6" s="1"/>
  <c r="F14" i="6" s="1"/>
  <c r="J10" i="4"/>
  <c r="J18" i="4"/>
  <c r="J13" i="4"/>
  <c r="I10" i="4"/>
  <c r="B9" i="6" s="1"/>
  <c r="F9" i="6" s="1"/>
  <c r="J7" i="4"/>
  <c r="J16" i="4"/>
  <c r="J9" i="4"/>
  <c r="I18" i="4"/>
  <c r="B17" i="6" s="1"/>
  <c r="F17" i="6" s="1"/>
  <c r="I13" i="4"/>
  <c r="B12" i="6" s="1"/>
  <c r="F12" i="6" s="1"/>
  <c r="I7" i="4"/>
  <c r="B6" i="6" s="1"/>
  <c r="F6" i="6" s="1"/>
  <c r="I19" i="4"/>
  <c r="B18" i="6" s="1"/>
  <c r="F18" i="6" s="1"/>
  <c r="I14" i="4"/>
  <c r="B13" i="6" s="1"/>
  <c r="F13" i="6" s="1"/>
  <c r="I6" i="4"/>
  <c r="B5" i="6" s="1"/>
  <c r="F5" i="6" s="1"/>
  <c r="J17" i="4"/>
  <c r="J11" i="4"/>
  <c r="J8" i="4"/>
  <c r="I17" i="4"/>
  <c r="B16" i="6" s="1"/>
  <c r="F16" i="6" s="1"/>
  <c r="I11" i="4"/>
  <c r="B10" i="6" s="1"/>
  <c r="F10" i="6" s="1"/>
  <c r="I8" i="4"/>
  <c r="B7" i="6" s="1"/>
  <c r="F7" i="6" s="1"/>
  <c r="I9" i="4"/>
  <c r="B8" i="6" s="1"/>
  <c r="F8" i="6" s="1"/>
  <c r="I12" i="4"/>
  <c r="B11" i="6" s="1"/>
  <c r="F11" i="6" s="1"/>
  <c r="H22" i="4"/>
  <c r="D21" i="4" l="1"/>
  <c r="E16" i="4"/>
  <c r="E21" i="4"/>
  <c r="E14" i="4"/>
  <c r="E15" i="4"/>
  <c r="E20" i="4"/>
  <c r="D17" i="4"/>
  <c r="E18" i="4"/>
  <c r="D18" i="4"/>
  <c r="D20" i="4"/>
  <c r="D14" i="4"/>
  <c r="D15" i="4"/>
  <c r="E17" i="4"/>
  <c r="E19" i="4"/>
  <c r="D19" i="4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D22" i="5"/>
  <c r="E22" i="5" s="1"/>
  <c r="D21" i="5"/>
  <c r="E21" i="5" s="1"/>
  <c r="D20" i="5"/>
  <c r="E20" i="5" s="1"/>
  <c r="D19" i="5"/>
  <c r="E19" i="5" s="1"/>
  <c r="D18" i="5"/>
  <c r="E18" i="5" s="1"/>
  <c r="D17" i="5"/>
  <c r="E17" i="5" s="1"/>
  <c r="D16" i="5"/>
  <c r="E16" i="5" s="1"/>
  <c r="D15" i="5"/>
  <c r="E15" i="5" s="1"/>
  <c r="D14" i="5"/>
  <c r="E14" i="5" s="1"/>
  <c r="D13" i="5"/>
  <c r="E13" i="5" s="1"/>
  <c r="D8" i="5"/>
  <c r="E8" i="5" s="1"/>
  <c r="D12" i="5"/>
  <c r="E12" i="5" s="1"/>
  <c r="D11" i="5"/>
  <c r="E11" i="5" s="1"/>
  <c r="D10" i="5"/>
  <c r="E10" i="5" s="1"/>
  <c r="D9" i="5"/>
  <c r="E9" i="5" s="1"/>
  <c r="J18" i="5" l="1"/>
  <c r="I18" i="5"/>
  <c r="J19" i="5"/>
  <c r="I19" i="5"/>
  <c r="J20" i="5"/>
  <c r="I20" i="5"/>
  <c r="J21" i="5"/>
  <c r="I21" i="5"/>
  <c r="J22" i="5"/>
  <c r="I22" i="5"/>
  <c r="E24" i="5"/>
  <c r="J15" i="5"/>
  <c r="I15" i="5"/>
  <c r="J14" i="5"/>
  <c r="I14" i="5"/>
  <c r="F22" i="5" l="1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G14" i="5" l="1"/>
  <c r="K14" i="5" s="1"/>
  <c r="C11" i="6" s="1"/>
  <c r="G15" i="5"/>
  <c r="K15" i="5" s="1"/>
  <c r="C12" i="6" s="1"/>
  <c r="G16" i="5"/>
  <c r="G17" i="5"/>
  <c r="H17" i="5" s="1"/>
  <c r="G8" i="5"/>
  <c r="H8" i="5" s="1"/>
  <c r="G18" i="5"/>
  <c r="K18" i="5" s="1"/>
  <c r="C15" i="6" s="1"/>
  <c r="G9" i="5"/>
  <c r="G19" i="5"/>
  <c r="K19" i="5" s="1"/>
  <c r="C16" i="6" s="1"/>
  <c r="G10" i="5"/>
  <c r="H10" i="5" s="1"/>
  <c r="G20" i="5"/>
  <c r="K20" i="5" s="1"/>
  <c r="C17" i="6" s="1"/>
  <c r="G11" i="5"/>
  <c r="G21" i="5"/>
  <c r="K21" i="5" s="1"/>
  <c r="C18" i="6" s="1"/>
  <c r="H21" i="5"/>
  <c r="G12" i="5"/>
  <c r="G22" i="5"/>
  <c r="K22" i="5" s="1"/>
  <c r="C19" i="6" s="1"/>
  <c r="G13" i="5"/>
  <c r="H13" i="5"/>
  <c r="H20" i="5" l="1"/>
  <c r="H16" i="5"/>
  <c r="H22" i="5"/>
  <c r="H19" i="5"/>
  <c r="H15" i="5"/>
  <c r="H12" i="5"/>
  <c r="H14" i="5"/>
  <c r="H9" i="5"/>
  <c r="H11" i="5"/>
  <c r="H18" i="5"/>
  <c r="G24" i="5"/>
  <c r="B25" i="5" s="1"/>
  <c r="I17" i="5" l="1"/>
  <c r="J17" i="5" s="1"/>
  <c r="K17" i="5" s="1"/>
  <c r="C14" i="6" s="1"/>
  <c r="I16" i="5"/>
  <c r="J16" i="5" s="1"/>
  <c r="K16" i="5" s="1"/>
  <c r="C13" i="6" s="1"/>
  <c r="I13" i="5"/>
  <c r="J13" i="5" s="1"/>
  <c r="K13" i="5" s="1"/>
  <c r="C10" i="6" s="1"/>
  <c r="I12" i="5"/>
  <c r="J12" i="5" s="1"/>
  <c r="K12" i="5" s="1"/>
  <c r="C9" i="6" s="1"/>
  <c r="I11" i="5"/>
  <c r="J11" i="5" s="1"/>
  <c r="K11" i="5" s="1"/>
  <c r="C8" i="6" s="1"/>
  <c r="I10" i="5"/>
  <c r="J10" i="5" s="1"/>
  <c r="K10" i="5" s="1"/>
  <c r="C7" i="6" s="1"/>
  <c r="I8" i="5"/>
  <c r="J8" i="5" s="1"/>
  <c r="K8" i="5" s="1"/>
  <c r="C5" i="6" s="1"/>
  <c r="I9" i="5"/>
  <c r="J9" i="5" s="1"/>
  <c r="K9" i="5" s="1"/>
  <c r="C6" i="6" s="1"/>
  <c r="K24" i="5" l="1"/>
  <c r="J24" i="5"/>
</calcChain>
</file>

<file path=xl/sharedStrings.xml><?xml version="1.0" encoding="utf-8"?>
<sst xmlns="http://schemas.openxmlformats.org/spreadsheetml/2006/main" count="223" uniqueCount="125">
  <si>
    <t>Juniorwahl zum Landtag von Sachsen-Anhalt</t>
  </si>
  <si>
    <t>Wahlkreis 5 – Genthin · Wahltag 6. September 2026 · Auswertung für die Schule</t>
  </si>
  <si>
    <t>So gehen Sie vor</t>
  </si>
  <si>
    <t>1. Blatt „Beteiligung“</t>
  </si>
  <si>
    <t>Zwei Zahlen: wie viele Schülerinnen und Schüler wahlberechtigt waren und wie viele Stimmzettel in der Urne lagen. Die Wahlbeteiligung rechnet sich daraus selbst aus.</t>
  </si>
  <si>
    <t>2. Blatt „Auszählung“</t>
  </si>
  <si>
    <t>Hier tragen Sie das Ergebnis der gemeinsamen Auszählung ein – links die acht Erststimmen-Bewerber, rechts die 15 Landeslisten, jeweils mit einer Zeile für die ungültigen Stimmen.</t>
  </si>
  <si>
    <t>3. Blatt „Ergebnis“</t>
  </si>
  <si>
    <t>Prozentwerte, Rangfolge und ein Diagramm. Hier ist nichts einzutragen.</t>
  </si>
  <si>
    <t>4. Blatt „Sitzverteilung“</t>
  </si>
  <si>
    <t>Rechnet die Zweitstimmen Ihrer Schule auf die 83 Sitze des Landtags um – mit 5-Prozent-Hürde und dem Verfahren Hare/Niemeyer, das im Wahlgesetz von Sachsen-Anhalt tatsächlich steht.</t>
  </si>
  <si>
    <t>5. Blatt „Vergleich“</t>
  </si>
  <si>
    <t>Stellt Ihr Schulergebnis dem Ergebnis von 2021 und dem echten Ergebnis vom 6. September gegenüber. Das echte Ergebnis tragen Sie nach der Wahl selbst ein.</t>
  </si>
  <si>
    <t>Farblegende</t>
  </si>
  <si>
    <t>Gelb, blaue Schrift</t>
  </si>
  <si>
    <t>Hier tragen Sie ein. Alle anderen Zellen rechnen selbst.</t>
  </si>
  <si>
    <t>Grau</t>
  </si>
  <si>
    <t>Summen- und Ergebniszeilen.</t>
  </si>
  <si>
    <t>Beim Auszählen</t>
  </si>
  <si>
    <t>Getrennt zählen</t>
  </si>
  <si>
    <t>Erst- und Zweitstimme werden unabhängig voneinander gezählt. Ein Stimmzettel kann bei der Erststimme gültig und bei der Zweitstimme ungültig sein – deshalb hat jede Spalte eine eigene Zeile für ungültige Stimmen.</t>
  </si>
  <si>
    <t>Ungültig ist,</t>
  </si>
  <si>
    <t>wer gar nicht, mehrfach oder unklar angekreuzt hat oder den Zettel beschriftet hat. Ein leeres Feld zählt als ungültige Stimme, der Stimmzettel selbst aber als abgegeben.</t>
  </si>
  <si>
    <t>Summen im Blick</t>
  </si>
  <si>
    <t>Unter beiden Blöcken steht die Summe aller eingetragenen Stimmen. Sie sollte mit der Zahl der abgegebenen Stimmzettel übereinstimmen – ein schneller Blick, ob sich beim Zählen ein Fehler eingeschlichen hat.</t>
  </si>
  <si>
    <t>Hinweise zum Stimmzettel</t>
  </si>
  <si>
    <t>Erststimme</t>
  </si>
  <si>
    <t>Im Wahlkreis 5 – Genthin stehen acht Personen zur Wahl: sieben Parteikandidaten und ein Einzelbewerber. Nicht jede Partei mit Landesliste stellt hier auch einen Wahlkreiskandidaten. Die Nummern entsprechen dem Stimmzettel.</t>
  </si>
  <si>
    <t>Zweitstimme</t>
  </si>
  <si>
    <t>15 Landeslisten. Diese Stimme entscheidet über die Sitzverteilung im Landtag – deshalb rechnet nur sie im Blatt „Sitzverteilung“ mit.</t>
  </si>
  <si>
    <t>Quelle</t>
  </si>
  <si>
    <t>Alle Namen und Reihenfolgen stammen vom Stimmzettel „Juniorwahl Wahlkreis 5 – Genthin“.</t>
  </si>
  <si>
    <t>Wahlberechtigte und Wahlbeteiligung</t>
  </si>
  <si>
    <t>Zwei Zahlen eintragen – gelbe Felder</t>
  </si>
  <si>
    <t>Wahlberechtigte Schülerinnen und Schüler</t>
  </si>
  <si>
    <t>Alle, die einen Stimmzettel bekommen haben</t>
  </si>
  <si>
    <t>Abgegebene Stimmzettel</t>
  </si>
  <si>
    <t>Zahl der Zettel in der Urne, gültige und ungültige zusammen</t>
  </si>
  <si>
    <t>Wahlbeteiligung</t>
  </si>
  <si>
    <t>rechnet sich automatisch</t>
  </si>
  <si>
    <t>Zum Vergleich</t>
  </si>
  <si>
    <t>Wahlbeteiligung Landtagswahl 2021</t>
  </si>
  <si>
    <t>amtliches Ergebnis, rund 60,5 Prozent</t>
  </si>
  <si>
    <t>Alles Weitere tragen Sie auf dem Blatt „Auszählung“ ein.</t>
  </si>
  <si>
    <t>Auszählung der Urne</t>
  </si>
  <si>
    <t>Erst- und Zweitstimme getrennt zählen · gelbe Felder ausfüllen</t>
  </si>
  <si>
    <t>Erststimme – Wahlkreis 5, Genthin</t>
  </si>
  <si>
    <t>Zweitstimme – Landeslisten</t>
  </si>
  <si>
    <t>Nr.</t>
  </si>
  <si>
    <t>Bewerberin / Bewerber</t>
  </si>
  <si>
    <t>Partei</t>
  </si>
  <si>
    <t>Stimmen</t>
  </si>
  <si>
    <t>Staudt, Thomas</t>
  </si>
  <si>
    <t>CDU</t>
  </si>
  <si>
    <t>Siegmund, Ulrich</t>
  </si>
  <si>
    <t>AfD</t>
  </si>
  <si>
    <t>Kreuzadler, Denis</t>
  </si>
  <si>
    <t>DIE LINKE</t>
  </si>
  <si>
    <t>Haußen, Timm</t>
  </si>
  <si>
    <t>SPD</t>
  </si>
  <si>
    <t>Mank, Oliver</t>
  </si>
  <si>
    <t>FDP</t>
  </si>
  <si>
    <t>Michael, Alexander</t>
  </si>
  <si>
    <t>GRÜNE</t>
  </si>
  <si>
    <t>Schulze, Thomas</t>
  </si>
  <si>
    <t>BSW</t>
  </si>
  <si>
    <t>FREIE WÄHLER</t>
  </si>
  <si>
    <t>Gleiche, Gordon</t>
  </si>
  <si>
    <t>Einzelbewerber</t>
  </si>
  <si>
    <t>dieBasis</t>
  </si>
  <si>
    <t>ungültige Erststimmen</t>
  </si>
  <si>
    <t>Tierschutzpartei</t>
  </si>
  <si>
    <t>Summe der Erststimmen</t>
  </si>
  <si>
    <t>Gartenpartei</t>
  </si>
  <si>
    <t>Abgleich mit den abgegebenen Stimmzetteln</t>
  </si>
  <si>
    <t>Die PARTEI</t>
  </si>
  <si>
    <t>TIERSCHUTZALLIANZ</t>
  </si>
  <si>
    <t>PdF</t>
  </si>
  <si>
    <t>Volt</t>
  </si>
  <si>
    <t>ungültige Zweitstimmen</t>
  </si>
  <si>
    <t>Summe der Zweitstimmen</t>
  </si>
  <si>
    <t>Abgleich mit den Stimmzetteln</t>
  </si>
  <si>
    <t>Die Summen sollten der Zahl der abgegebenen Stimmzettel entsprechen. Steht dort „Abweichung“, wurde verzählt oder eine Zahl vergessen.</t>
  </si>
  <si>
    <t>Ergebnis der Juniorwahl</t>
  </si>
  <si>
    <t>Alle Werte rechnen sich automatisch – hier ist nichts einzutragen</t>
  </si>
  <si>
    <t>Überblick</t>
  </si>
  <si>
    <t>Wahlberechtigte</t>
  </si>
  <si>
    <t>Anteil</t>
  </si>
  <si>
    <t>Rang</t>
  </si>
  <si>
    <t>Gültige Erststimmen</t>
  </si>
  <si>
    <t>Gültige Zweitstimmen</t>
  </si>
  <si>
    <t>Summe</t>
  </si>
  <si>
    <t>Die Prozentwerte beziehen sich auf die gültigen Stimmen – so wie bei der echten Wahl auch.</t>
  </si>
  <si>
    <t>Sitzverteilung nach dem Ergebnis der Juniorwahl</t>
  </si>
  <si>
    <t>5-Prozent-Hürde und Verfahren Hare/Niemeyer – so wie im Wahlgesetz von Sachsen-Anhalt</t>
  </si>
  <si>
    <t>Zu vergebende Sitze</t>
  </si>
  <si>
    <t>Regelgröße des Landtags. Durch Überhang- und Ausgleichsmandate können es mehr werden.</t>
  </si>
  <si>
    <t>Sperrklausel</t>
  </si>
  <si>
    <t>Nur Parteien darüber werden bei der Sitzverteilung berücksichtigt.</t>
  </si>
  <si>
    <t>Zweitstimmen</t>
  </si>
  <si>
    <t>über Hürde?</t>
  </si>
  <si>
    <t>berücksichtigte Stimmen</t>
  </si>
  <si>
    <t>Sitzanspruch</t>
  </si>
  <si>
    <t>volle Sitze</t>
  </si>
  <si>
    <t>Rest</t>
  </si>
  <si>
    <t>Rang Rest</t>
  </si>
  <si>
    <t>Restsitz</t>
  </si>
  <si>
    <t>Sitze gesamt</t>
  </si>
  <si>
    <t>noch zu vergebende Restsitze</t>
  </si>
  <si>
    <t>Mehrheit erforderlich</t>
  </si>
  <si>
    <t>So viele Sitze braucht eine Koalition für eine Mehrheit im Landtag.</t>
  </si>
  <si>
    <t>So funktioniert Hare/Niemeyer: Die Stimmen aller Parteien über der Hürde werden auf 100 Prozent hochgerechnet. Jede Partei bekommt zunächst so viele Sitze, wie vor dem Komma stehen (Spalte G).</t>
  </si>
  <si>
    <t>Die dann noch freien Sitze (Zelle B25) gehen an die Parteien mit den größten Nachkommastellen (Spalten H bis J).</t>
  </si>
  <si>
    <t>Bei genau gleichen Nachkommastellen entscheidet im echten Verfahren das Los. Diese Tabelle vergibt den Sitz in diesem seltenen Fall an die weiter oben stehende Partei – ein guter Anlass, das mit dem Kurs zu besprechen.</t>
  </si>
  <si>
    <t>Die Erststimme wirkt sich hier nicht aus: Sie bestimmt, wer den Wahlkreis vertritt, nicht die Stärke der Fraktionen.</t>
  </si>
  <si>
    <t>Vergleich: Juniorwahl, Landtagswahl 2021 und echtes Ergebnis 2026</t>
  </si>
  <si>
    <t>Die Spalte „Echtes Ergebnis 2026“ tragen Sie nach dem 6. September selbst ein</t>
  </si>
  <si>
    <t>Juniorwahl</t>
  </si>
  <si>
    <t>Sitze laut Juniorwahl</t>
  </si>
  <si>
    <t>Landtagswahl 2021</t>
  </si>
  <si>
    <t>Echtes Ergebnis 2026</t>
  </si>
  <si>
    <t>Abweichung Juniorwahl</t>
  </si>
  <si>
    <t>—</t>
  </si>
  <si>
    <t>Werte für 2021: amtliches Endergebnis der Landtagswahl vom 6. Juni 2021 (Zweitstimmen). Parteien ohne Angabe traten damals nicht an oder erreichten kein ausgewiesenes Ergebnis.</t>
  </si>
  <si>
    <t>Auswertungsfragen für den Unterricht: Wo weicht das Schulergebnis am stärksten vom echten ab? Welche Parteien schneiden bei Jugendlichen besser ab, welche schlechter? Und woran könnte das liegen – am Alter, am Wahlkampf in den sozialen Medien oder an den Themen, die im Unterricht behandelt wurden?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</si>
</sst>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\+0.0%;\-0.0%;0.0%"/>
  </numFmts>
  <fonts count="13" x14ac:knownFonts="1">
    <font>
      <sz val="11"/>
      <color theme="1"/>
      <name val="Calibri"/>
      <family val="2"/>
      <charset val="1"/>
    </font>
    <font>
      <b/>
      <sz val="16"/>
      <color rgb="FF1F3864"/>
      <name val="Arial"/>
      <charset val="1"/>
    </font>
    <font>
      <i/>
      <sz val="10"/>
      <color rgb="FF666666"/>
      <name val="Arial"/>
      <charset val="1"/>
    </font>
    <font>
      <b/>
      <sz val="12"/>
      <color rgb="FF1F3864"/>
      <name val="Arial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sz val="11"/>
      <color rgb="FF0000FF"/>
      <name val="Arial"/>
      <charset val="1"/>
    </font>
    <font>
      <i/>
      <sz val="9"/>
      <color rgb="FF666666"/>
      <name val="Arial"/>
      <charset val="1"/>
    </font>
    <font>
      <b/>
      <sz val="10"/>
      <name val="Arial"/>
      <charset val="1"/>
    </font>
    <font>
      <sz val="10"/>
      <color rgb="FF0000FF"/>
      <name val="Arial"/>
      <charset val="1"/>
    </font>
    <font>
      <b/>
      <sz val="9"/>
      <name val="Arial"/>
      <charset val="1"/>
    </font>
    <font>
      <sz val="10"/>
      <name val="Arial"/>
      <charset val="1"/>
    </font>
    <font>
      <i/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F2F2F2"/>
        <bgColor rgb="FFE8F0E4"/>
      </patternFill>
    </fill>
    <fill>
      <patternFill patternType="solid">
        <fgColor rgb="FFDCE3F0"/>
        <bgColor rgb="FFD9D9D9"/>
      </patternFill>
    </fill>
    <fill>
      <patternFill patternType="solid">
        <fgColor rgb="FFE8F0E4"/>
        <bgColor rgb="FFF2F2F2"/>
      </patternFill>
    </fill>
  </fills>
  <borders count="2">
    <border>
      <left/>
      <right/>
      <top/>
      <bottom/>
      <diagonal/>
    </border>
    <border>
      <left style="thin">
        <color rgb="FFB0B7BF"/>
      </left>
      <right style="thin">
        <color rgb="FFB0B7BF"/>
      </right>
      <top style="thin">
        <color rgb="FFB0B7BF"/>
      </top>
      <bottom style="thin">
        <color rgb="FFB0B7B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7" fillId="0" borderId="0" xfId="0" applyFont="1" applyAlignment="1">
      <alignment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 wrapText="1"/>
    </xf>
    <xf numFmtId="0" fontId="4" fillId="2" borderId="0" xfId="0" applyFont="1" applyFill="1"/>
    <xf numFmtId="0" fontId="4" fillId="3" borderId="0" xfId="0" applyFont="1" applyFill="1"/>
    <xf numFmtId="0" fontId="5" fillId="0" borderId="0" xfId="0" applyFont="1"/>
    <xf numFmtId="1" fontId="6" fillId="2" borderId="1" xfId="0" applyNumberFormat="1" applyFont="1" applyFill="1" applyBorder="1" applyAlignment="1">
      <alignment horizontal="right"/>
    </xf>
    <xf numFmtId="0" fontId="7" fillId="0" borderId="0" xfId="0" applyFont="1"/>
    <xf numFmtId="164" fontId="8" fillId="3" borderId="1" xfId="0" applyNumberFormat="1" applyFont="1" applyFill="1" applyBorder="1"/>
    <xf numFmtId="164" fontId="9" fillId="0" borderId="1" xfId="0" applyNumberFormat="1" applyFont="1" applyBorder="1"/>
    <xf numFmtId="0" fontId="10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12" fillId="0" borderId="1" xfId="0" applyFont="1" applyBorder="1"/>
    <xf numFmtId="0" fontId="0" fillId="3" borderId="1" xfId="0" applyFill="1" applyBorder="1"/>
    <xf numFmtId="0" fontId="4" fillId="3" borderId="1" xfId="0" applyFont="1" applyFill="1" applyBorder="1"/>
    <xf numFmtId="0" fontId="8" fillId="3" borderId="1" xfId="0" applyFont="1" applyFill="1" applyBorder="1"/>
    <xf numFmtId="0" fontId="7" fillId="0" borderId="0" xfId="0" applyFont="1" applyAlignment="1">
      <alignment horizontal="center"/>
    </xf>
    <xf numFmtId="1" fontId="8" fillId="3" borderId="1" xfId="0" applyNumberFormat="1" applyFont="1" applyFill="1" applyBorder="1"/>
    <xf numFmtId="1" fontId="11" fillId="0" borderId="1" xfId="0" applyNumberFormat="1" applyFont="1" applyBorder="1"/>
    <xf numFmtId="164" fontId="11" fillId="0" borderId="1" xfId="0" applyNumberFormat="1" applyFont="1" applyBorder="1"/>
    <xf numFmtId="164" fontId="6" fillId="2" borderId="1" xfId="0" applyNumberFormat="1" applyFont="1" applyFill="1" applyBorder="1" applyAlignment="1">
      <alignment horizontal="right"/>
    </xf>
    <xf numFmtId="0" fontId="11" fillId="0" borderId="1" xfId="0" applyFont="1" applyBorder="1"/>
    <xf numFmtId="2" fontId="11" fillId="0" borderId="1" xfId="0" applyNumberFormat="1" applyFont="1" applyBorder="1"/>
    <xf numFmtId="165" fontId="11" fillId="0" borderId="1" xfId="0" applyNumberFormat="1" applyFont="1" applyBorder="1"/>
    <xf numFmtId="0" fontId="8" fillId="5" borderId="1" xfId="0" applyFont="1" applyFill="1" applyBorder="1"/>
    <xf numFmtId="166" fontId="11" fillId="0" borderId="1" xfId="0" applyNumberFormat="1" applyFont="1" applyBorder="1"/>
    <xf numFmtId="166" fontId="8" fillId="3" borderId="1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E3000F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666666"/>
      <rgbColor rgb="FF7A5195"/>
      <rgbColor rgb="FF00A19A"/>
      <rgbColor rgb="FFB0B7BF"/>
      <rgbColor rgb="FF878787"/>
      <rgbColor rgb="FF9999FF"/>
      <rgbColor rgb="FF7D254F"/>
      <rgbColor rgb="FFFFF2CC"/>
      <rgbColor rgb="FFDCE3F0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4F81BD"/>
      <rgbColor rgb="FF0000FF"/>
      <rgbColor rgb="FF009EE0"/>
      <rgbColor rgb="FFCCFFFF"/>
      <rgbColor rgb="FFE8F0E4"/>
      <rgbColor rgb="FFFFFF99"/>
      <rgbColor rgb="FF99CCFF"/>
      <rgbColor rgb="FFFF99CC"/>
      <rgbColor rgb="FFCC99FF"/>
      <rgbColor rgb="FFFFCC99"/>
      <rgbColor rgb="FF2C7BB6"/>
      <rgbColor rgb="FF33CCCC"/>
      <rgbColor rgb="FF7BB661"/>
      <rgbColor rgb="FFF5C400"/>
      <rgbColor rgb="FFF7A800"/>
      <rgbColor rgb="FFFF6600"/>
      <rgbColor rgb="FF6E6E6E"/>
      <rgbColor rgb="FF9A9A9A"/>
      <rgbColor rgb="FF1F3864"/>
      <rgbColor rgb="FF1AA037"/>
      <rgbColor rgb="FF003300"/>
      <rgbColor rgb="FF333300"/>
      <rgbColor rgb="FF8B1A1A"/>
      <rgbColor rgb="FFBE3075"/>
      <rgbColor rgb="FF50237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Erststimme – Wahlkreis 5, Genthin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Ergebnis!$D$13</c:f>
              <c:strCache>
                <c:ptCount val="1"/>
                <c:pt idx="0">
                  <c:v>Anteil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1A1A1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72FB-463E-8BBE-14963EBAA061}"/>
              </c:ext>
            </c:extLst>
          </c:dPt>
          <c:dPt>
            <c:idx val="1"/>
            <c:invertIfNegative val="0"/>
            <c:bubble3D val="0"/>
            <c:spPr>
              <a:solidFill>
                <a:srgbClr val="009EE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72FB-463E-8BBE-14963EBAA061}"/>
              </c:ext>
            </c:extLst>
          </c:dPt>
          <c:dPt>
            <c:idx val="2"/>
            <c:invertIfNegative val="0"/>
            <c:bubble3D val="0"/>
            <c:spPr>
              <a:solidFill>
                <a:srgbClr val="BE307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72FB-463E-8BBE-14963EBAA061}"/>
              </c:ext>
            </c:extLst>
          </c:dPt>
          <c:dPt>
            <c:idx val="3"/>
            <c:invertIfNegative val="0"/>
            <c:bubble3D val="0"/>
            <c:spPr>
              <a:solidFill>
                <a:srgbClr val="E3000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72FB-463E-8BBE-14963EBAA061}"/>
              </c:ext>
            </c:extLst>
          </c:dPt>
          <c:dPt>
            <c:idx val="4"/>
            <c:invertIfNegative val="0"/>
            <c:bubble3D val="0"/>
            <c:spPr>
              <a:solidFill>
                <a:srgbClr val="F5C40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72FB-463E-8BBE-14963EBAA061}"/>
              </c:ext>
            </c:extLst>
          </c:dPt>
          <c:dPt>
            <c:idx val="5"/>
            <c:invertIfNegative val="0"/>
            <c:bubble3D val="0"/>
            <c:spPr>
              <a:solidFill>
                <a:srgbClr val="1AA03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72FB-463E-8BBE-14963EBAA061}"/>
              </c:ext>
            </c:extLst>
          </c:dPt>
          <c:dPt>
            <c:idx val="6"/>
            <c:invertIfNegative val="0"/>
            <c:bubble3D val="0"/>
            <c:spPr>
              <a:solidFill>
                <a:srgbClr val="7D254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72FB-463E-8BBE-14963EBAA061}"/>
              </c:ext>
            </c:extLst>
          </c:dPt>
          <c:dPt>
            <c:idx val="7"/>
            <c:invertIfNegative val="0"/>
            <c:bubble3D val="0"/>
            <c:spPr>
              <a:solidFill>
                <a:srgbClr val="9A9A9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72FB-463E-8BBE-14963EBAA061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72FB-463E-8BBE-14963EBAA061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72FB-463E-8BBE-14963EBAA061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72FB-463E-8BBE-14963EBAA061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72FB-463E-8BBE-14963EBAA061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72FB-463E-8BBE-14963EBAA061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B-72FB-463E-8BBE-14963EBAA061}"/>
                </c:ext>
              </c:extLst>
            </c:dLbl>
            <c:dLbl>
              <c:idx val="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D-72FB-463E-8BBE-14963EBAA061}"/>
                </c:ext>
              </c:extLst>
            </c:dLbl>
            <c:dLbl>
              <c:idx val="7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F-72FB-463E-8BBE-14963EBAA0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Ergebnis!$A$14:$A$21</c:f>
              <c:strCache>
                <c:ptCount val="8"/>
                <c:pt idx="0">
                  <c:v>Staudt, Thomas</c:v>
                </c:pt>
                <c:pt idx="1">
                  <c:v>Siegmund, Ulrich</c:v>
                </c:pt>
                <c:pt idx="2">
                  <c:v>Kreuzadler, Denis</c:v>
                </c:pt>
                <c:pt idx="3">
                  <c:v>Haußen, Timm</c:v>
                </c:pt>
                <c:pt idx="4">
                  <c:v>Mank, Oliver</c:v>
                </c:pt>
                <c:pt idx="5">
                  <c:v>Michael, Alexander</c:v>
                </c:pt>
                <c:pt idx="6">
                  <c:v>Schulze, Thomas</c:v>
                </c:pt>
                <c:pt idx="7">
                  <c:v>Gleiche, Gordon</c:v>
                </c:pt>
              </c:strCache>
            </c:strRef>
          </c:cat>
          <c:val>
            <c:numRef>
              <c:f>Ergebnis!$D$14:$D$21</c:f>
              <c:numCache>
                <c:formatCode>0.0%</c:formatCode>
                <c:ptCount val="8"/>
                <c:pt idx="0">
                  <c:v>0.12694300518134716</c:v>
                </c:pt>
                <c:pt idx="1">
                  <c:v>0.26683937823834197</c:v>
                </c:pt>
                <c:pt idx="2">
                  <c:v>0.35233160621761656</c:v>
                </c:pt>
                <c:pt idx="3">
                  <c:v>7.7720207253886009E-2</c:v>
                </c:pt>
                <c:pt idx="4">
                  <c:v>8.0310880829015538E-2</c:v>
                </c:pt>
                <c:pt idx="5">
                  <c:v>3.367875647668394E-2</c:v>
                </c:pt>
                <c:pt idx="6">
                  <c:v>3.6269430051813469E-2</c:v>
                </c:pt>
                <c:pt idx="7">
                  <c:v>2.5906735751295335E-2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2FB-463E-8BBE-14963EBAA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axId val="25880620"/>
        <c:axId val="80413584"/>
      </c:barChart>
      <c:catAx>
        <c:axId val="258806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0413584"/>
        <c:crosses val="autoZero"/>
        <c:auto val="1"/>
        <c:lblAlgn val="ctr"/>
        <c:lblOffset val="100"/>
        <c:noMultiLvlLbl val="0"/>
      </c:catAx>
      <c:valAx>
        <c:axId val="8041358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Anteil der gültigen Stimmen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588062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Zweitstimme – Landeslisten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Ergebnis!$I$5</c:f>
              <c:strCache>
                <c:ptCount val="1"/>
                <c:pt idx="0">
                  <c:v>Anteil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1A1A1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5C06-45F1-BEB5-E24FA2AF5471}"/>
              </c:ext>
            </c:extLst>
          </c:dPt>
          <c:dPt>
            <c:idx val="1"/>
            <c:invertIfNegative val="0"/>
            <c:bubble3D val="0"/>
            <c:spPr>
              <a:solidFill>
                <a:srgbClr val="009EE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5C06-45F1-BEB5-E24FA2AF5471}"/>
              </c:ext>
            </c:extLst>
          </c:dPt>
          <c:dPt>
            <c:idx val="2"/>
            <c:invertIfNegative val="0"/>
            <c:bubble3D val="0"/>
            <c:spPr>
              <a:solidFill>
                <a:srgbClr val="BE307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5C06-45F1-BEB5-E24FA2AF5471}"/>
              </c:ext>
            </c:extLst>
          </c:dPt>
          <c:dPt>
            <c:idx val="3"/>
            <c:invertIfNegative val="0"/>
            <c:bubble3D val="0"/>
            <c:spPr>
              <a:solidFill>
                <a:srgbClr val="E3000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5C06-45F1-BEB5-E24FA2AF5471}"/>
              </c:ext>
            </c:extLst>
          </c:dPt>
          <c:dPt>
            <c:idx val="4"/>
            <c:invertIfNegative val="0"/>
            <c:bubble3D val="0"/>
            <c:spPr>
              <a:solidFill>
                <a:srgbClr val="F5C40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5C06-45F1-BEB5-E24FA2AF5471}"/>
              </c:ext>
            </c:extLst>
          </c:dPt>
          <c:dPt>
            <c:idx val="5"/>
            <c:invertIfNegative val="0"/>
            <c:bubble3D val="0"/>
            <c:spPr>
              <a:solidFill>
                <a:srgbClr val="1AA037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5C06-45F1-BEB5-E24FA2AF5471}"/>
              </c:ext>
            </c:extLst>
          </c:dPt>
          <c:dPt>
            <c:idx val="6"/>
            <c:invertIfNegative val="0"/>
            <c:bubble3D val="0"/>
            <c:spPr>
              <a:solidFill>
                <a:srgbClr val="F7A80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5C06-45F1-BEB5-E24FA2AF5471}"/>
              </c:ext>
            </c:extLst>
          </c:dPt>
          <c:dPt>
            <c:idx val="7"/>
            <c:invertIfNegative val="0"/>
            <c:bubble3D val="0"/>
            <c:spPr>
              <a:solidFill>
                <a:srgbClr val="6E6E6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5C06-45F1-BEB5-E24FA2AF5471}"/>
              </c:ext>
            </c:extLst>
          </c:dPt>
          <c:dPt>
            <c:idx val="8"/>
            <c:invertIfNegative val="0"/>
            <c:bubble3D val="0"/>
            <c:spPr>
              <a:solidFill>
                <a:srgbClr val="00A19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1-5C06-45F1-BEB5-E24FA2AF5471}"/>
              </c:ext>
            </c:extLst>
          </c:dPt>
          <c:dPt>
            <c:idx val="9"/>
            <c:invertIfNegative val="0"/>
            <c:bubble3D val="0"/>
            <c:spPr>
              <a:solidFill>
                <a:srgbClr val="7BB661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3-5C06-45F1-BEB5-E24FA2AF5471}"/>
              </c:ext>
            </c:extLst>
          </c:dPt>
          <c:dPt>
            <c:idx val="10"/>
            <c:invertIfNegative val="0"/>
            <c:bubble3D val="0"/>
            <c:spPr>
              <a:solidFill>
                <a:srgbClr val="8B1A1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5-5C06-45F1-BEB5-E24FA2AF5471}"/>
              </c:ext>
            </c:extLst>
          </c:dPt>
          <c:dPt>
            <c:idx val="11"/>
            <c:invertIfNegative val="0"/>
            <c:bubble3D val="0"/>
            <c:spPr>
              <a:solidFill>
                <a:srgbClr val="7A519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7-5C06-45F1-BEB5-E24FA2AF5471}"/>
              </c:ext>
            </c:extLst>
          </c:dPt>
          <c:dPt>
            <c:idx val="12"/>
            <c:invertIfNegative val="0"/>
            <c:bubble3D val="0"/>
            <c:spPr>
              <a:solidFill>
                <a:srgbClr val="7D254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9-5C06-45F1-BEB5-E24FA2AF5471}"/>
              </c:ext>
            </c:extLst>
          </c:dPt>
          <c:dPt>
            <c:idx val="13"/>
            <c:invertIfNegative val="0"/>
            <c:bubble3D val="0"/>
            <c:spPr>
              <a:solidFill>
                <a:srgbClr val="2C7BB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B-5C06-45F1-BEB5-E24FA2AF5471}"/>
              </c:ext>
            </c:extLst>
          </c:dPt>
          <c:dPt>
            <c:idx val="14"/>
            <c:invertIfNegative val="0"/>
            <c:bubble3D val="0"/>
            <c:spPr>
              <a:solidFill>
                <a:srgbClr val="50237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1D-5C06-45F1-BEB5-E24FA2AF5471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1-5C06-45F1-BEB5-E24FA2AF5471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3-5C06-45F1-BEB5-E24FA2AF5471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5-5C06-45F1-BEB5-E24FA2AF5471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7-5C06-45F1-BEB5-E24FA2AF5471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9-5C06-45F1-BEB5-E24FA2AF5471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B-5C06-45F1-BEB5-E24FA2AF5471}"/>
                </c:ext>
              </c:extLst>
            </c:dLbl>
            <c:dLbl>
              <c:idx val="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D-5C06-45F1-BEB5-E24FA2AF5471}"/>
                </c:ext>
              </c:extLst>
            </c:dLbl>
            <c:dLbl>
              <c:idx val="7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0F-5C06-45F1-BEB5-E24FA2AF5471}"/>
                </c:ext>
              </c:extLst>
            </c:dLbl>
            <c:dLbl>
              <c:idx val="8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1-5C06-45F1-BEB5-E24FA2AF5471}"/>
                </c:ext>
              </c:extLst>
            </c:dLbl>
            <c:dLbl>
              <c:idx val="9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3-5C06-45F1-BEB5-E24FA2AF5471}"/>
                </c:ext>
              </c:extLst>
            </c:dLbl>
            <c:dLbl>
              <c:idx val="1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5-5C06-45F1-BEB5-E24FA2AF5471}"/>
                </c:ext>
              </c:extLst>
            </c:dLbl>
            <c:dLbl>
              <c:idx val="1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7-5C06-45F1-BEB5-E24FA2AF5471}"/>
                </c:ext>
              </c:extLst>
            </c:dLbl>
            <c:dLbl>
              <c:idx val="1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9-5C06-45F1-BEB5-E24FA2AF5471}"/>
                </c:ext>
              </c:extLst>
            </c:dLbl>
            <c:dLbl>
              <c:idx val="1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B-5C06-45F1-BEB5-E24FA2AF5471}"/>
                </c:ext>
              </c:extLst>
            </c:dLbl>
            <c:dLbl>
              <c:idx val="1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de-DE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6="http://schemas.microsoft.com/office/drawing/2014/chart" uri="{C3380CC4-5D6E-409C-BE32-E72D297353CC}">
                  <c16:uniqueId val="{0000001D-5C06-45F1-BEB5-E24FA2AF54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Ergebnis!$G$6:$G$20</c:f>
              <c:strCache>
                <c:ptCount val="15"/>
                <c:pt idx="0">
                  <c:v>CDU</c:v>
                </c:pt>
                <c:pt idx="1">
                  <c:v>AfD</c:v>
                </c:pt>
                <c:pt idx="2">
                  <c:v>DIE LINKE</c:v>
                </c:pt>
                <c:pt idx="3">
                  <c:v>SPD</c:v>
                </c:pt>
                <c:pt idx="4">
                  <c:v>FDP</c:v>
                </c:pt>
                <c:pt idx="5">
                  <c:v>GRÜNE</c:v>
                </c:pt>
                <c:pt idx="6">
                  <c:v>FREIE WÄHLER</c:v>
                </c:pt>
                <c:pt idx="7">
                  <c:v>dieBasis</c:v>
                </c:pt>
                <c:pt idx="8">
                  <c:v>Tierschutzpartei</c:v>
                </c:pt>
                <c:pt idx="9">
                  <c:v>Gartenpartei</c:v>
                </c:pt>
                <c:pt idx="10">
                  <c:v>Die PARTEI</c:v>
                </c:pt>
                <c:pt idx="11">
                  <c:v>TIERSCHUTZALLIANZ</c:v>
                </c:pt>
                <c:pt idx="12">
                  <c:v>BSW</c:v>
                </c:pt>
                <c:pt idx="13">
                  <c:v>PdF</c:v>
                </c:pt>
                <c:pt idx="14">
                  <c:v>Volt</c:v>
                </c:pt>
              </c:strCache>
            </c:strRef>
          </c:cat>
          <c:val>
            <c:numRef>
              <c:f>Ergebnis!$I$6:$I$20</c:f>
              <c:numCache>
                <c:formatCode>0.0%</c:formatCode>
                <c:ptCount val="15"/>
                <c:pt idx="0">
                  <c:v>7.7519379844961239E-2</c:v>
                </c:pt>
                <c:pt idx="1">
                  <c:v>0.20930232558139536</c:v>
                </c:pt>
                <c:pt idx="2">
                  <c:v>0.29715762273901808</c:v>
                </c:pt>
                <c:pt idx="3">
                  <c:v>7.4935400516795869E-2</c:v>
                </c:pt>
                <c:pt idx="4">
                  <c:v>7.2351421188630485E-2</c:v>
                </c:pt>
                <c:pt idx="5">
                  <c:v>5.4263565891472867E-2</c:v>
                </c:pt>
                <c:pt idx="6">
                  <c:v>7.7519379844961239E-3</c:v>
                </c:pt>
                <c:pt idx="7">
                  <c:v>2.5839793281653748E-3</c:v>
                </c:pt>
                <c:pt idx="8">
                  <c:v>4.909560723514212E-2</c:v>
                </c:pt>
                <c:pt idx="9">
                  <c:v>4.909560723514212E-2</c:v>
                </c:pt>
                <c:pt idx="10">
                  <c:v>1.0335917312661499E-2</c:v>
                </c:pt>
                <c:pt idx="11">
                  <c:v>1.8087855297157621E-2</c:v>
                </c:pt>
                <c:pt idx="12">
                  <c:v>4.6511627906976744E-2</c:v>
                </c:pt>
                <c:pt idx="13">
                  <c:v>1.0335917312661499E-2</c:v>
                </c:pt>
                <c:pt idx="14">
                  <c:v>2.0671834625322998E-2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5C06-45F1-BEB5-E24FA2AF5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5"/>
        <c:axId val="33196570"/>
        <c:axId val="96884283"/>
      </c:barChart>
      <c:catAx>
        <c:axId val="3319657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6884283"/>
        <c:crosses val="autoZero"/>
        <c:auto val="1"/>
        <c:lblAlgn val="ctr"/>
        <c:lblOffset val="100"/>
        <c:noMultiLvlLbl val="0"/>
      </c:catAx>
      <c:valAx>
        <c:axId val="9688428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Anteil der gültigen Stimmen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319657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130680</xdr:rowOff>
    </xdr:from>
    <xdr:to>
      <xdr:col>3</xdr:col>
      <xdr:colOff>802800</xdr:colOff>
      <xdr:row>41</xdr:row>
      <xdr:rowOff>106200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25</xdr:row>
      <xdr:rowOff>130680</xdr:rowOff>
    </xdr:from>
    <xdr:to>
      <xdr:col>11</xdr:col>
      <xdr:colOff>120960</xdr:colOff>
      <xdr:row>41</xdr:row>
      <xdr:rowOff>106200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  <pageSetUpPr fitToPage="1"/>
  </sheetPr>
  <dimension ref="B1:C23"/>
  <sheetViews>
    <sheetView showGridLines="0" zoomScaleNormal="100" workbookViewId="0"/>
  </sheetViews>
  <sheetFormatPr baseColWidth="10" defaultColWidth="8.6640625" defaultRowHeight="14.4" x14ac:dyDescent="0.3"/>
  <cols>
    <col min="1" max="1" width="3" customWidth="1"/>
    <col min="2" max="2" width="28" customWidth="1"/>
    <col min="3" max="3" width="82" customWidth="1"/>
  </cols>
  <sheetData>
    <row r="1" spans="2:3" ht="21" x14ac:dyDescent="0.4">
      <c r="B1" s="2" t="s">
        <v>0</v>
      </c>
    </row>
    <row r="2" spans="2:3" x14ac:dyDescent="0.3">
      <c r="B2" s="3" t="s">
        <v>1</v>
      </c>
    </row>
    <row r="4" spans="2:3" ht="15.6" x14ac:dyDescent="0.3">
      <c r="B4" s="4" t="s">
        <v>2</v>
      </c>
    </row>
    <row r="5" spans="2:3" ht="27" customHeight="1" x14ac:dyDescent="0.3">
      <c r="B5" s="5" t="s">
        <v>3</v>
      </c>
      <c r="C5" s="6" t="s">
        <v>4</v>
      </c>
    </row>
    <row r="6" spans="2:3" ht="27" customHeight="1" x14ac:dyDescent="0.3">
      <c r="B6" s="5" t="s">
        <v>5</v>
      </c>
      <c r="C6" s="6" t="s">
        <v>6</v>
      </c>
    </row>
    <row r="7" spans="2:3" ht="15" customHeight="1" x14ac:dyDescent="0.3">
      <c r="B7" s="5" t="s">
        <v>7</v>
      </c>
      <c r="C7" s="6" t="s">
        <v>8</v>
      </c>
    </row>
    <row r="8" spans="2:3" ht="27" customHeight="1" x14ac:dyDescent="0.3">
      <c r="B8" s="5" t="s">
        <v>9</v>
      </c>
      <c r="C8" s="6" t="s">
        <v>10</v>
      </c>
    </row>
    <row r="9" spans="2:3" ht="27" customHeight="1" x14ac:dyDescent="0.3">
      <c r="B9" s="5" t="s">
        <v>11</v>
      </c>
      <c r="C9" s="6" t="s">
        <v>12</v>
      </c>
    </row>
    <row r="11" spans="2:3" ht="15.6" x14ac:dyDescent="0.3">
      <c r="B11" s="4" t="s">
        <v>13</v>
      </c>
    </row>
    <row r="12" spans="2:3" ht="15" customHeight="1" x14ac:dyDescent="0.3">
      <c r="B12" s="7" t="s">
        <v>14</v>
      </c>
      <c r="C12" s="6" t="s">
        <v>15</v>
      </c>
    </row>
    <row r="13" spans="2:3" ht="15" customHeight="1" x14ac:dyDescent="0.3">
      <c r="B13" s="8" t="s">
        <v>16</v>
      </c>
      <c r="C13" s="6" t="s">
        <v>17</v>
      </c>
    </row>
    <row r="15" spans="2:3" ht="15.6" x14ac:dyDescent="0.3">
      <c r="B15" s="4" t="s">
        <v>18</v>
      </c>
    </row>
    <row r="16" spans="2:3" ht="40.5" customHeight="1" x14ac:dyDescent="0.3">
      <c r="B16" s="5" t="s">
        <v>19</v>
      </c>
      <c r="C16" s="6" t="s">
        <v>20</v>
      </c>
    </row>
    <row r="17" spans="2:3" ht="27" customHeight="1" x14ac:dyDescent="0.3">
      <c r="B17" s="5" t="s">
        <v>21</v>
      </c>
      <c r="C17" s="6" t="s">
        <v>22</v>
      </c>
    </row>
    <row r="18" spans="2:3" ht="40.5" customHeight="1" x14ac:dyDescent="0.3">
      <c r="B18" s="5" t="s">
        <v>23</v>
      </c>
      <c r="C18" s="6" t="s">
        <v>24</v>
      </c>
    </row>
    <row r="20" spans="2:3" ht="15.6" x14ac:dyDescent="0.3">
      <c r="B20" s="4" t="s">
        <v>25</v>
      </c>
    </row>
    <row r="21" spans="2:3" ht="40.5" customHeight="1" x14ac:dyDescent="0.3">
      <c r="B21" s="5" t="s">
        <v>26</v>
      </c>
      <c r="C21" s="6" t="s">
        <v>27</v>
      </c>
    </row>
    <row r="22" spans="2:3" ht="27" customHeight="1" x14ac:dyDescent="0.3">
      <c r="B22" s="5" t="s">
        <v>28</v>
      </c>
      <c r="C22" s="6" t="s">
        <v>29</v>
      </c>
    </row>
    <row r="23" spans="2:3" ht="15" customHeight="1" x14ac:dyDescent="0.3">
      <c r="B23" s="5" t="s">
        <v>30</v>
      </c>
      <c r="C23" s="6" t="s">
        <v>31</v>
      </c>
    </row>
  </sheetData>
  <pageMargins left="0.4" right="0.4" top="0.5" bottom="0.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3864"/>
    <pageSetUpPr fitToPage="1"/>
  </sheetPr>
  <dimension ref="A1:C13"/>
  <sheetViews>
    <sheetView showGridLines="0" zoomScaleNormal="100" workbookViewId="0">
      <selection activeCell="B6" sqref="B6"/>
    </sheetView>
  </sheetViews>
  <sheetFormatPr baseColWidth="10" defaultColWidth="8.6640625" defaultRowHeight="14.4" x14ac:dyDescent="0.3"/>
  <cols>
    <col min="1" max="1" width="38" customWidth="1"/>
    <col min="2" max="2" width="16" customWidth="1"/>
    <col min="3" max="3" width="62" customWidth="1"/>
  </cols>
  <sheetData>
    <row r="1" spans="1:3" ht="21" x14ac:dyDescent="0.4">
      <c r="A1" s="2" t="s">
        <v>32</v>
      </c>
    </row>
    <row r="2" spans="1:3" x14ac:dyDescent="0.3">
      <c r="A2" s="3" t="s">
        <v>33</v>
      </c>
    </row>
    <row r="4" spans="1:3" x14ac:dyDescent="0.3">
      <c r="A4" s="9" t="s">
        <v>34</v>
      </c>
      <c r="B4" s="10">
        <f>308+109</f>
        <v>417</v>
      </c>
      <c r="C4" s="11" t="s">
        <v>35</v>
      </c>
    </row>
    <row r="5" spans="1:3" x14ac:dyDescent="0.3">
      <c r="A5" s="9" t="s">
        <v>36</v>
      </c>
      <c r="B5" s="10">
        <f>292+106</f>
        <v>398</v>
      </c>
      <c r="C5" s="11" t="s">
        <v>37</v>
      </c>
    </row>
    <row r="7" spans="1:3" x14ac:dyDescent="0.3">
      <c r="A7" s="5" t="s">
        <v>38</v>
      </c>
      <c r="B7" s="12">
        <f>IF(OR(B4="",B4=0),"",B5/B4)</f>
        <v>0.95443645083932849</v>
      </c>
      <c r="C7" s="11" t="s">
        <v>39</v>
      </c>
    </row>
    <row r="10" spans="1:3" ht="15.6" x14ac:dyDescent="0.3">
      <c r="A10" s="4" t="s">
        <v>40</v>
      </c>
    </row>
    <row r="11" spans="1:3" x14ac:dyDescent="0.3">
      <c r="A11" s="9" t="s">
        <v>41</v>
      </c>
      <c r="B11" s="13">
        <v>0.60499999999999998</v>
      </c>
      <c r="C11" s="11" t="s">
        <v>42</v>
      </c>
    </row>
    <row r="13" spans="1:3" x14ac:dyDescent="0.3">
      <c r="A13" s="11" t="s">
        <v>43</v>
      </c>
    </row>
  </sheetData>
  <pageMargins left="0.4" right="0.4" top="0.5" bottom="0.5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F3864"/>
    <pageSetUpPr fitToPage="1"/>
  </sheetPr>
  <dimension ref="A1:H26"/>
  <sheetViews>
    <sheetView showGridLines="0" zoomScaleNormal="100" workbookViewId="0">
      <selection activeCell="H22" sqref="H22"/>
    </sheetView>
  </sheetViews>
  <sheetFormatPr baseColWidth="10" defaultColWidth="8.6640625" defaultRowHeight="14.4" x14ac:dyDescent="0.3"/>
  <cols>
    <col min="1" max="1" width="6" customWidth="1"/>
    <col min="2" max="2" width="26" customWidth="1"/>
    <col min="3" max="3" width="16" customWidth="1"/>
    <col min="4" max="4" width="13" customWidth="1"/>
    <col min="5" max="5" width="4" customWidth="1"/>
    <col min="6" max="6" width="6" customWidth="1"/>
    <col min="7" max="7" width="26" customWidth="1"/>
    <col min="8" max="8" width="13" customWidth="1"/>
  </cols>
  <sheetData>
    <row r="1" spans="1:8" ht="21" x14ac:dyDescent="0.4">
      <c r="A1" s="2" t="s">
        <v>44</v>
      </c>
    </row>
    <row r="2" spans="1:8" x14ac:dyDescent="0.3">
      <c r="A2" s="3" t="s">
        <v>45</v>
      </c>
    </row>
    <row r="4" spans="1:8" ht="15.6" x14ac:dyDescent="0.3">
      <c r="A4" s="4" t="s">
        <v>46</v>
      </c>
      <c r="F4" s="4" t="s">
        <v>47</v>
      </c>
    </row>
    <row r="5" spans="1:8" x14ac:dyDescent="0.3">
      <c r="A5" s="14" t="s">
        <v>48</v>
      </c>
      <c r="B5" s="14" t="s">
        <v>49</v>
      </c>
      <c r="C5" s="14" t="s">
        <v>50</v>
      </c>
      <c r="D5" s="14" t="s">
        <v>51</v>
      </c>
      <c r="F5" s="14" t="s">
        <v>48</v>
      </c>
      <c r="G5" s="14" t="s">
        <v>50</v>
      </c>
      <c r="H5" s="14" t="s">
        <v>51</v>
      </c>
    </row>
    <row r="6" spans="1:8" x14ac:dyDescent="0.3">
      <c r="A6" s="15">
        <v>1</v>
      </c>
      <c r="B6" s="16" t="s">
        <v>52</v>
      </c>
      <c r="C6" s="16" t="s">
        <v>53</v>
      </c>
      <c r="D6" s="10">
        <f>28+21</f>
        <v>49</v>
      </c>
      <c r="F6" s="15">
        <v>1</v>
      </c>
      <c r="G6" s="16" t="s">
        <v>53</v>
      </c>
      <c r="H6" s="10">
        <f>17+13</f>
        <v>30</v>
      </c>
    </row>
    <row r="7" spans="1:8" x14ac:dyDescent="0.3">
      <c r="A7" s="15">
        <v>2</v>
      </c>
      <c r="B7" s="16" t="s">
        <v>54</v>
      </c>
      <c r="C7" s="16" t="s">
        <v>55</v>
      </c>
      <c r="D7" s="10">
        <f>85+18</f>
        <v>103</v>
      </c>
      <c r="F7" s="15">
        <v>2</v>
      </c>
      <c r="G7" s="16" t="s">
        <v>55</v>
      </c>
      <c r="H7" s="10">
        <f>66+15</f>
        <v>81</v>
      </c>
    </row>
    <row r="8" spans="1:8" x14ac:dyDescent="0.3">
      <c r="A8" s="15">
        <v>3</v>
      </c>
      <c r="B8" s="16" t="s">
        <v>56</v>
      </c>
      <c r="C8" s="16" t="s">
        <v>57</v>
      </c>
      <c r="D8" s="10">
        <f>98+38</f>
        <v>136</v>
      </c>
      <c r="F8" s="15">
        <v>3</v>
      </c>
      <c r="G8" s="16" t="s">
        <v>57</v>
      </c>
      <c r="H8" s="10">
        <f>74+41</f>
        <v>115</v>
      </c>
    </row>
    <row r="9" spans="1:8" x14ac:dyDescent="0.3">
      <c r="A9" s="15">
        <v>4</v>
      </c>
      <c r="B9" s="16" t="s">
        <v>58</v>
      </c>
      <c r="C9" s="16" t="s">
        <v>59</v>
      </c>
      <c r="D9" s="10">
        <f>23+7</f>
        <v>30</v>
      </c>
      <c r="F9" s="15">
        <v>4</v>
      </c>
      <c r="G9" s="16" t="s">
        <v>59</v>
      </c>
      <c r="H9" s="10">
        <f>22+7</f>
        <v>29</v>
      </c>
    </row>
    <row r="10" spans="1:8" x14ac:dyDescent="0.3">
      <c r="A10" s="15">
        <v>5</v>
      </c>
      <c r="B10" s="16" t="s">
        <v>60</v>
      </c>
      <c r="C10" s="16" t="s">
        <v>61</v>
      </c>
      <c r="D10" s="10">
        <f>24+7</f>
        <v>31</v>
      </c>
      <c r="F10" s="15">
        <v>5</v>
      </c>
      <c r="G10" s="16" t="s">
        <v>61</v>
      </c>
      <c r="H10" s="10">
        <f>21+7</f>
        <v>28</v>
      </c>
    </row>
    <row r="11" spans="1:8" x14ac:dyDescent="0.3">
      <c r="A11" s="15">
        <v>6</v>
      </c>
      <c r="B11" s="16" t="s">
        <v>62</v>
      </c>
      <c r="C11" s="16" t="s">
        <v>63</v>
      </c>
      <c r="D11" s="10">
        <f>7+6</f>
        <v>13</v>
      </c>
      <c r="F11" s="15">
        <v>6</v>
      </c>
      <c r="G11" s="16" t="s">
        <v>63</v>
      </c>
      <c r="H11" s="10">
        <f>14+7</f>
        <v>21</v>
      </c>
    </row>
    <row r="12" spans="1:8" x14ac:dyDescent="0.3">
      <c r="A12" s="15">
        <v>13</v>
      </c>
      <c r="B12" s="16" t="s">
        <v>64</v>
      </c>
      <c r="C12" s="16" t="s">
        <v>65</v>
      </c>
      <c r="D12" s="10">
        <f>9+5</f>
        <v>14</v>
      </c>
      <c r="F12" s="15">
        <v>7</v>
      </c>
      <c r="G12" s="16" t="s">
        <v>66</v>
      </c>
      <c r="H12" s="10">
        <v>3</v>
      </c>
    </row>
    <row r="13" spans="1:8" x14ac:dyDescent="0.3">
      <c r="A13" s="15">
        <v>16</v>
      </c>
      <c r="B13" s="16" t="s">
        <v>67</v>
      </c>
      <c r="C13" s="16" t="s">
        <v>68</v>
      </c>
      <c r="D13" s="10">
        <v>10</v>
      </c>
      <c r="F13" s="15">
        <v>8</v>
      </c>
      <c r="G13" s="16" t="s">
        <v>69</v>
      </c>
      <c r="H13" s="10">
        <v>1</v>
      </c>
    </row>
    <row r="14" spans="1:8" x14ac:dyDescent="0.3">
      <c r="A14" s="17"/>
      <c r="B14" s="18" t="s">
        <v>70</v>
      </c>
      <c r="C14" s="17"/>
      <c r="D14" s="10">
        <f>8+4</f>
        <v>12</v>
      </c>
      <c r="F14" s="15">
        <v>9</v>
      </c>
      <c r="G14" s="16" t="s">
        <v>71</v>
      </c>
      <c r="H14" s="10">
        <f>17+2</f>
        <v>19</v>
      </c>
    </row>
    <row r="15" spans="1:8" x14ac:dyDescent="0.3">
      <c r="A15" s="19"/>
      <c r="B15" s="20" t="s">
        <v>72</v>
      </c>
      <c r="C15" s="19"/>
      <c r="D15" s="21">
        <f>SUM(D6:D14)</f>
        <v>398</v>
      </c>
      <c r="F15" s="15">
        <v>10</v>
      </c>
      <c r="G15" s="16" t="s">
        <v>73</v>
      </c>
      <c r="H15" s="10">
        <f>18+1</f>
        <v>19</v>
      </c>
    </row>
    <row r="16" spans="1:8" x14ac:dyDescent="0.3">
      <c r="B16" s="11" t="s">
        <v>74</v>
      </c>
      <c r="D16" s="22" t="str">
        <f>IF(Beteiligung!B5="","",IF(D15=Beteiligung!B5,"passt","Abweichung "&amp;TEXT(D15-Beteiligung!B5,"+0;-0")))</f>
        <v>passt</v>
      </c>
      <c r="F16" s="15">
        <v>11</v>
      </c>
      <c r="G16" s="16" t="s">
        <v>75</v>
      </c>
      <c r="H16" s="10">
        <v>4</v>
      </c>
    </row>
    <row r="17" spans="1:8" x14ac:dyDescent="0.3">
      <c r="F17" s="15">
        <v>12</v>
      </c>
      <c r="G17" s="16" t="s">
        <v>76</v>
      </c>
      <c r="H17" s="10">
        <v>7</v>
      </c>
    </row>
    <row r="18" spans="1:8" x14ac:dyDescent="0.3">
      <c r="F18" s="15">
        <v>13</v>
      </c>
      <c r="G18" s="16" t="s">
        <v>65</v>
      </c>
      <c r="H18" s="10">
        <v>18</v>
      </c>
    </row>
    <row r="19" spans="1:8" x14ac:dyDescent="0.3">
      <c r="F19" s="15">
        <v>14</v>
      </c>
      <c r="G19" s="16" t="s">
        <v>77</v>
      </c>
      <c r="H19" s="10">
        <v>4</v>
      </c>
    </row>
    <row r="20" spans="1:8" x14ac:dyDescent="0.3">
      <c r="F20" s="15">
        <v>15</v>
      </c>
      <c r="G20" s="16" t="s">
        <v>78</v>
      </c>
      <c r="H20" s="10">
        <v>8</v>
      </c>
    </row>
    <row r="21" spans="1:8" x14ac:dyDescent="0.3">
      <c r="F21" s="17"/>
      <c r="G21" s="18" t="s">
        <v>79</v>
      </c>
      <c r="H21" s="10">
        <v>11</v>
      </c>
    </row>
    <row r="22" spans="1:8" x14ac:dyDescent="0.3">
      <c r="F22" s="19"/>
      <c r="G22" s="20" t="s">
        <v>80</v>
      </c>
      <c r="H22" s="21">
        <f>SUM(H6:H21)</f>
        <v>398</v>
      </c>
    </row>
    <row r="23" spans="1:8" x14ac:dyDescent="0.3">
      <c r="F23" s="11" t="s">
        <v>81</v>
      </c>
      <c r="H23" s="22" t="str">
        <f>IF(Beteiligung!B5="","",IF(H22=Beteiligung!B5,"passt","Abweichung "&amp;TEXT(H22-Beteiligung!B5,"+0;-0")))</f>
        <v>passt</v>
      </c>
    </row>
    <row r="26" spans="1:8" x14ac:dyDescent="0.3">
      <c r="A26" s="11" t="s">
        <v>82</v>
      </c>
    </row>
  </sheetData>
  <pageMargins left="0.4" right="0.4" top="0.5" bottom="0.5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F3864"/>
    <pageSetUpPr fitToPage="1"/>
  </sheetPr>
  <dimension ref="A1:J25"/>
  <sheetViews>
    <sheetView showGridLines="0" tabSelected="1" zoomScaleNormal="100" workbookViewId="0"/>
  </sheetViews>
  <sheetFormatPr baseColWidth="10" defaultColWidth="8.6640625" defaultRowHeight="14.4" x14ac:dyDescent="0.3"/>
  <cols>
    <col min="1" max="1" width="26" customWidth="1"/>
    <col min="2" max="2" width="16" customWidth="1"/>
    <col min="3" max="4" width="13" customWidth="1"/>
    <col min="5" max="5" width="8" customWidth="1"/>
    <col min="6" max="6" width="4" customWidth="1"/>
    <col min="7" max="7" width="22" customWidth="1"/>
    <col min="8" max="9" width="13" customWidth="1"/>
    <col min="10" max="10" width="8" customWidth="1"/>
  </cols>
  <sheetData>
    <row r="1" spans="1:10" ht="21" x14ac:dyDescent="0.4">
      <c r="A1" s="2" t="s">
        <v>83</v>
      </c>
    </row>
    <row r="2" spans="1:10" x14ac:dyDescent="0.3">
      <c r="A2" s="3" t="s">
        <v>84</v>
      </c>
    </row>
    <row r="4" spans="1:10" ht="15.6" x14ac:dyDescent="0.3">
      <c r="A4" s="4" t="s">
        <v>85</v>
      </c>
      <c r="G4" s="4" t="s">
        <v>47</v>
      </c>
    </row>
    <row r="5" spans="1:10" x14ac:dyDescent="0.3">
      <c r="A5" s="9" t="s">
        <v>86</v>
      </c>
      <c r="B5" s="23">
        <f>Beteiligung!B4</f>
        <v>417</v>
      </c>
      <c r="G5" s="14" t="s">
        <v>50</v>
      </c>
      <c r="H5" s="14" t="s">
        <v>51</v>
      </c>
      <c r="I5" s="14" t="s">
        <v>87</v>
      </c>
      <c r="J5" s="14" t="s">
        <v>88</v>
      </c>
    </row>
    <row r="6" spans="1:10" x14ac:dyDescent="0.3">
      <c r="A6" s="9" t="s">
        <v>36</v>
      </c>
      <c r="B6" s="23">
        <f>Beteiligung!B5</f>
        <v>398</v>
      </c>
      <c r="G6" s="16" t="s">
        <v>53</v>
      </c>
      <c r="H6" s="24">
        <f>Auszählung!H6</f>
        <v>30</v>
      </c>
      <c r="I6" s="25">
        <f t="shared" ref="I6:I20" si="0">IF($B$9=0,"",H6/$B$9)</f>
        <v>7.7519379844961239E-2</v>
      </c>
      <c r="J6" s="15">
        <f t="shared" ref="J6:J20" si="1">IF($B$9=0,"",RANK(H6,$H$6:$H$20))</f>
        <v>3</v>
      </c>
    </row>
    <row r="7" spans="1:10" x14ac:dyDescent="0.3">
      <c r="A7" s="9" t="s">
        <v>38</v>
      </c>
      <c r="B7" s="12">
        <f>IF(OR(Beteiligung!B4="",Beteiligung!B4=0),"",Beteiligung!B5/Beteiligung!B4)</f>
        <v>0.95443645083932849</v>
      </c>
      <c r="G7" s="16" t="s">
        <v>55</v>
      </c>
      <c r="H7" s="24">
        <f>Auszählung!H7</f>
        <v>81</v>
      </c>
      <c r="I7" s="25">
        <f t="shared" si="0"/>
        <v>0.20930232558139536</v>
      </c>
      <c r="J7" s="15">
        <f t="shared" si="1"/>
        <v>2</v>
      </c>
    </row>
    <row r="8" spans="1:10" x14ac:dyDescent="0.3">
      <c r="A8" s="9" t="s">
        <v>89</v>
      </c>
      <c r="B8" s="23">
        <f>Auszählung!D15-Auszählung!D14</f>
        <v>386</v>
      </c>
      <c r="G8" s="16" t="s">
        <v>57</v>
      </c>
      <c r="H8" s="24">
        <f>Auszählung!H8</f>
        <v>115</v>
      </c>
      <c r="I8" s="25">
        <f t="shared" si="0"/>
        <v>0.29715762273901808</v>
      </c>
      <c r="J8" s="15">
        <f t="shared" si="1"/>
        <v>1</v>
      </c>
    </row>
    <row r="9" spans="1:10" x14ac:dyDescent="0.3">
      <c r="A9" s="9" t="s">
        <v>90</v>
      </c>
      <c r="B9" s="23">
        <f>Auszählung!H22-Auszählung!H21</f>
        <v>387</v>
      </c>
      <c r="G9" s="16" t="s">
        <v>59</v>
      </c>
      <c r="H9" s="24">
        <f>Auszählung!H9</f>
        <v>29</v>
      </c>
      <c r="I9" s="25">
        <f t="shared" si="0"/>
        <v>7.4935400516795869E-2</v>
      </c>
      <c r="J9" s="15">
        <f t="shared" si="1"/>
        <v>4</v>
      </c>
    </row>
    <row r="10" spans="1:10" x14ac:dyDescent="0.3">
      <c r="G10" s="16" t="s">
        <v>61</v>
      </c>
      <c r="H10" s="24">
        <f>Auszählung!H10</f>
        <v>28</v>
      </c>
      <c r="I10" s="25">
        <f t="shared" si="0"/>
        <v>7.2351421188630485E-2</v>
      </c>
      <c r="J10" s="15">
        <f t="shared" si="1"/>
        <v>5</v>
      </c>
    </row>
    <row r="11" spans="1:10" x14ac:dyDescent="0.3">
      <c r="G11" s="16" t="s">
        <v>63</v>
      </c>
      <c r="H11" s="24">
        <f>Auszählung!H11</f>
        <v>21</v>
      </c>
      <c r="I11" s="25">
        <f t="shared" si="0"/>
        <v>5.4263565891472867E-2</v>
      </c>
      <c r="J11" s="15">
        <f t="shared" si="1"/>
        <v>6</v>
      </c>
    </row>
    <row r="12" spans="1:10" ht="15.6" x14ac:dyDescent="0.3">
      <c r="A12" s="4" t="s">
        <v>46</v>
      </c>
      <c r="G12" s="16" t="s">
        <v>66</v>
      </c>
      <c r="H12" s="24">
        <f>Auszählung!H12</f>
        <v>3</v>
      </c>
      <c r="I12" s="25">
        <f t="shared" si="0"/>
        <v>7.7519379844961239E-3</v>
      </c>
      <c r="J12" s="15">
        <f t="shared" si="1"/>
        <v>14</v>
      </c>
    </row>
    <row r="13" spans="1:10" x14ac:dyDescent="0.3">
      <c r="A13" s="14" t="s">
        <v>49</v>
      </c>
      <c r="B13" s="14" t="s">
        <v>50</v>
      </c>
      <c r="C13" s="14" t="s">
        <v>51</v>
      </c>
      <c r="D13" s="14" t="s">
        <v>87</v>
      </c>
      <c r="E13" s="14" t="s">
        <v>88</v>
      </c>
      <c r="G13" s="16" t="s">
        <v>69</v>
      </c>
      <c r="H13" s="24">
        <f>Auszählung!H13</f>
        <v>1</v>
      </c>
      <c r="I13" s="25">
        <f t="shared" si="0"/>
        <v>2.5839793281653748E-3</v>
      </c>
      <c r="J13" s="15">
        <f t="shared" si="1"/>
        <v>15</v>
      </c>
    </row>
    <row r="14" spans="1:10" x14ac:dyDescent="0.3">
      <c r="A14" s="16" t="s">
        <v>52</v>
      </c>
      <c r="B14" s="16" t="s">
        <v>53</v>
      </c>
      <c r="C14" s="24">
        <f>Auszählung!D6</f>
        <v>49</v>
      </c>
      <c r="D14" s="25">
        <f t="shared" ref="D14:D21" si="2">IF($B$8=0,"",C14/$B$8)</f>
        <v>0.12694300518134716</v>
      </c>
      <c r="E14" s="15">
        <f t="shared" ref="E14:E21" si="3">IF($B$8=0,"",RANK(C14,$C$14:$C$21))</f>
        <v>3</v>
      </c>
      <c r="G14" s="16" t="s">
        <v>71</v>
      </c>
      <c r="H14" s="24">
        <f>Auszählung!H14</f>
        <v>19</v>
      </c>
      <c r="I14" s="25">
        <f t="shared" si="0"/>
        <v>4.909560723514212E-2</v>
      </c>
      <c r="J14" s="15">
        <f t="shared" si="1"/>
        <v>7</v>
      </c>
    </row>
    <row r="15" spans="1:10" x14ac:dyDescent="0.3">
      <c r="A15" s="16" t="s">
        <v>54</v>
      </c>
      <c r="B15" s="16" t="s">
        <v>55</v>
      </c>
      <c r="C15" s="24">
        <f>Auszählung!D7</f>
        <v>103</v>
      </c>
      <c r="D15" s="25">
        <f t="shared" si="2"/>
        <v>0.26683937823834197</v>
      </c>
      <c r="E15" s="15">
        <f t="shared" si="3"/>
        <v>2</v>
      </c>
      <c r="G15" s="16" t="s">
        <v>73</v>
      </c>
      <c r="H15" s="24">
        <f>Auszählung!H15</f>
        <v>19</v>
      </c>
      <c r="I15" s="25">
        <f t="shared" si="0"/>
        <v>4.909560723514212E-2</v>
      </c>
      <c r="J15" s="15">
        <f t="shared" si="1"/>
        <v>7</v>
      </c>
    </row>
    <row r="16" spans="1:10" x14ac:dyDescent="0.3">
      <c r="A16" s="16" t="s">
        <v>56</v>
      </c>
      <c r="B16" s="16" t="s">
        <v>57</v>
      </c>
      <c r="C16" s="24">
        <f>Auszählung!D8</f>
        <v>136</v>
      </c>
      <c r="D16" s="25">
        <f t="shared" si="2"/>
        <v>0.35233160621761656</v>
      </c>
      <c r="E16" s="15">
        <f t="shared" si="3"/>
        <v>1</v>
      </c>
      <c r="G16" s="16" t="s">
        <v>75</v>
      </c>
      <c r="H16" s="24">
        <f>Auszählung!H16</f>
        <v>4</v>
      </c>
      <c r="I16" s="25">
        <f t="shared" si="0"/>
        <v>1.0335917312661499E-2</v>
      </c>
      <c r="J16" s="15">
        <f t="shared" si="1"/>
        <v>12</v>
      </c>
    </row>
    <row r="17" spans="1:10" x14ac:dyDescent="0.3">
      <c r="A17" s="16" t="s">
        <v>58</v>
      </c>
      <c r="B17" s="16" t="s">
        <v>59</v>
      </c>
      <c r="C17" s="24">
        <f>Auszählung!D9</f>
        <v>30</v>
      </c>
      <c r="D17" s="25">
        <f t="shared" si="2"/>
        <v>7.7720207253886009E-2</v>
      </c>
      <c r="E17" s="15">
        <f t="shared" si="3"/>
        <v>5</v>
      </c>
      <c r="G17" s="16" t="s">
        <v>76</v>
      </c>
      <c r="H17" s="24">
        <f>Auszählung!H17</f>
        <v>7</v>
      </c>
      <c r="I17" s="25">
        <f t="shared" si="0"/>
        <v>1.8087855297157621E-2</v>
      </c>
      <c r="J17" s="15">
        <f t="shared" si="1"/>
        <v>11</v>
      </c>
    </row>
    <row r="18" spans="1:10" x14ac:dyDescent="0.3">
      <c r="A18" s="16" t="s">
        <v>60</v>
      </c>
      <c r="B18" s="16" t="s">
        <v>61</v>
      </c>
      <c r="C18" s="24">
        <f>Auszählung!D10</f>
        <v>31</v>
      </c>
      <c r="D18" s="25">
        <f t="shared" si="2"/>
        <v>8.0310880829015538E-2</v>
      </c>
      <c r="E18" s="15">
        <f t="shared" si="3"/>
        <v>4</v>
      </c>
      <c r="G18" s="16" t="s">
        <v>65</v>
      </c>
      <c r="H18" s="24">
        <f>Auszählung!H18</f>
        <v>18</v>
      </c>
      <c r="I18" s="25">
        <f t="shared" si="0"/>
        <v>4.6511627906976744E-2</v>
      </c>
      <c r="J18" s="15">
        <f t="shared" si="1"/>
        <v>9</v>
      </c>
    </row>
    <row r="19" spans="1:10" x14ac:dyDescent="0.3">
      <c r="A19" s="16" t="s">
        <v>62</v>
      </c>
      <c r="B19" s="16" t="s">
        <v>63</v>
      </c>
      <c r="C19" s="24">
        <f>Auszählung!D11</f>
        <v>13</v>
      </c>
      <c r="D19" s="25">
        <f t="shared" si="2"/>
        <v>3.367875647668394E-2</v>
      </c>
      <c r="E19" s="15">
        <f t="shared" si="3"/>
        <v>7</v>
      </c>
      <c r="G19" s="16" t="s">
        <v>77</v>
      </c>
      <c r="H19" s="24">
        <f>Auszählung!H19</f>
        <v>4</v>
      </c>
      <c r="I19" s="25">
        <f t="shared" si="0"/>
        <v>1.0335917312661499E-2</v>
      </c>
      <c r="J19" s="15">
        <f t="shared" si="1"/>
        <v>12</v>
      </c>
    </row>
    <row r="20" spans="1:10" x14ac:dyDescent="0.3">
      <c r="A20" s="16" t="s">
        <v>64</v>
      </c>
      <c r="B20" s="16" t="s">
        <v>65</v>
      </c>
      <c r="C20" s="24">
        <f>Auszählung!D12</f>
        <v>14</v>
      </c>
      <c r="D20" s="25">
        <f t="shared" si="2"/>
        <v>3.6269430051813469E-2</v>
      </c>
      <c r="E20" s="15">
        <f t="shared" si="3"/>
        <v>6</v>
      </c>
      <c r="G20" s="16" t="s">
        <v>78</v>
      </c>
      <c r="H20" s="24">
        <f>Auszählung!H20</f>
        <v>8</v>
      </c>
      <c r="I20" s="25">
        <f t="shared" si="0"/>
        <v>2.0671834625322998E-2</v>
      </c>
      <c r="J20" s="15">
        <f t="shared" si="1"/>
        <v>10</v>
      </c>
    </row>
    <row r="21" spans="1:10" x14ac:dyDescent="0.3">
      <c r="A21" s="16" t="s">
        <v>67</v>
      </c>
      <c r="B21" s="16" t="s">
        <v>68</v>
      </c>
      <c r="C21" s="24">
        <f>Auszählung!D13</f>
        <v>10</v>
      </c>
      <c r="D21" s="25">
        <f t="shared" si="2"/>
        <v>2.5906735751295335E-2</v>
      </c>
      <c r="E21" s="15">
        <f t="shared" si="3"/>
        <v>8</v>
      </c>
      <c r="G21" s="18" t="s">
        <v>79</v>
      </c>
      <c r="H21" s="24">
        <f>Auszählung!H21</f>
        <v>11</v>
      </c>
    </row>
    <row r="22" spans="1:10" x14ac:dyDescent="0.3">
      <c r="A22" s="18" t="s">
        <v>70</v>
      </c>
      <c r="C22" s="24">
        <f>Auszählung!D14</f>
        <v>12</v>
      </c>
      <c r="G22" s="20" t="s">
        <v>91</v>
      </c>
      <c r="H22" s="21">
        <f>SUM(H6:H21)</f>
        <v>398</v>
      </c>
    </row>
    <row r="23" spans="1:10" x14ac:dyDescent="0.3">
      <c r="A23" s="20" t="s">
        <v>91</v>
      </c>
      <c r="B23" s="19"/>
      <c r="C23" s="21">
        <f>SUM(C14:C22)</f>
        <v>398</v>
      </c>
    </row>
    <row r="25" spans="1:10" x14ac:dyDescent="0.3">
      <c r="A25" s="11" t="s">
        <v>92</v>
      </c>
    </row>
  </sheetData>
  <pageMargins left="0.4" right="0.4" top="0.5" bottom="0.5" header="0.511811023622047" footer="0.511811023622047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F3864"/>
    <pageSetUpPr fitToPage="1"/>
  </sheetPr>
  <dimension ref="A1:K32"/>
  <sheetViews>
    <sheetView showGridLines="0" zoomScaleNormal="100" workbookViewId="0"/>
  </sheetViews>
  <sheetFormatPr baseColWidth="10" defaultColWidth="8.6640625" defaultRowHeight="14.4" x14ac:dyDescent="0.3"/>
  <cols>
    <col min="1" max="1" width="22" customWidth="1"/>
    <col min="2" max="2" width="13" customWidth="1"/>
    <col min="3" max="3" width="12" customWidth="1"/>
    <col min="4" max="4" width="11" customWidth="1"/>
    <col min="5" max="5" width="16" customWidth="1"/>
    <col min="6" max="6" width="14" customWidth="1"/>
    <col min="7" max="7" width="12" customWidth="1"/>
    <col min="8" max="8" width="10" customWidth="1"/>
    <col min="9" max="9" width="11" customWidth="1"/>
    <col min="10" max="11" width="12" customWidth="1"/>
  </cols>
  <sheetData>
    <row r="1" spans="1:11" ht="21" x14ac:dyDescent="0.4">
      <c r="A1" s="2" t="s">
        <v>93</v>
      </c>
    </row>
    <row r="2" spans="1:11" x14ac:dyDescent="0.3">
      <c r="A2" s="3" t="s">
        <v>94</v>
      </c>
    </row>
    <row r="4" spans="1:11" x14ac:dyDescent="0.3">
      <c r="A4" s="9" t="s">
        <v>95</v>
      </c>
      <c r="B4" s="10">
        <v>83</v>
      </c>
      <c r="C4" s="11" t="s">
        <v>96</v>
      </c>
    </row>
    <row r="5" spans="1:11" x14ac:dyDescent="0.3">
      <c r="A5" s="9" t="s">
        <v>97</v>
      </c>
      <c r="B5" s="26">
        <v>0.05</v>
      </c>
      <c r="C5" s="11" t="s">
        <v>98</v>
      </c>
    </row>
    <row r="7" spans="1:11" ht="31.5" customHeight="1" x14ac:dyDescent="0.3">
      <c r="A7" s="14" t="s">
        <v>50</v>
      </c>
      <c r="B7" s="14" t="s">
        <v>99</v>
      </c>
      <c r="C7" s="14" t="s">
        <v>87</v>
      </c>
      <c r="D7" s="14" t="s">
        <v>100</v>
      </c>
      <c r="E7" s="14" t="s">
        <v>101</v>
      </c>
      <c r="F7" s="14" t="s">
        <v>102</v>
      </c>
      <c r="G7" s="14" t="s">
        <v>103</v>
      </c>
      <c r="H7" s="14" t="s">
        <v>104</v>
      </c>
      <c r="I7" s="14" t="s">
        <v>105</v>
      </c>
      <c r="J7" s="14" t="s">
        <v>106</v>
      </c>
      <c r="K7" s="14" t="s">
        <v>107</v>
      </c>
    </row>
    <row r="8" spans="1:11" x14ac:dyDescent="0.3">
      <c r="A8" s="16" t="s">
        <v>53</v>
      </c>
      <c r="B8" s="24">
        <f>Ergebnis!H6</f>
        <v>30</v>
      </c>
      <c r="C8" s="25">
        <f t="shared" ref="C8:C22" si="0">IF($B$24=0,"",B8/$B$24)</f>
        <v>7.7519379844961239E-2</v>
      </c>
      <c r="D8" s="15" t="str">
        <f t="shared" ref="D8:D22" si="1">IF($B$24=0,"",IF(B8/$B$24&gt;=$B$5,"ja","nein"))</f>
        <v>ja</v>
      </c>
      <c r="E8" s="27">
        <f t="shared" ref="E8:E22" si="2">IF(D8="ja",B8,0)</f>
        <v>30</v>
      </c>
      <c r="F8" s="28">
        <f t="shared" ref="F8:F22" si="3">IF($E$24=0,0,E8/$E$24*$B$4)</f>
        <v>8.1907894736842106</v>
      </c>
      <c r="G8" s="27">
        <f t="shared" ref="G8:G22" si="4">INT(F8)</f>
        <v>8</v>
      </c>
      <c r="H8" s="29">
        <f t="shared" ref="H8:H22" si="5">F8-G8</f>
        <v>0.19078947368421062</v>
      </c>
      <c r="I8" s="15">
        <f t="shared" ref="I8:I22" si="6">IF(E8=0,"",RANK(H8,$H$8:$H$22))</f>
        <v>5</v>
      </c>
      <c r="J8" s="15">
        <f t="shared" ref="J8:J22" si="7">IF(E8=0,0,IF(I8&lt;=$B$25,1,0))</f>
        <v>0</v>
      </c>
      <c r="K8" s="30">
        <f t="shared" ref="K8:K22" si="8">G8+J8</f>
        <v>8</v>
      </c>
    </row>
    <row r="9" spans="1:11" x14ac:dyDescent="0.3">
      <c r="A9" s="16" t="s">
        <v>55</v>
      </c>
      <c r="B9" s="24">
        <f>Ergebnis!H7</f>
        <v>81</v>
      </c>
      <c r="C9" s="25">
        <f t="shared" si="0"/>
        <v>0.20930232558139536</v>
      </c>
      <c r="D9" s="15" t="str">
        <f t="shared" si="1"/>
        <v>ja</v>
      </c>
      <c r="E9" s="27">
        <f t="shared" si="2"/>
        <v>81</v>
      </c>
      <c r="F9" s="28">
        <f t="shared" si="3"/>
        <v>22.11513157894737</v>
      </c>
      <c r="G9" s="27">
        <f t="shared" si="4"/>
        <v>22</v>
      </c>
      <c r="H9" s="29">
        <f t="shared" si="5"/>
        <v>0.11513157894736992</v>
      </c>
      <c r="I9" s="15">
        <f t="shared" si="6"/>
        <v>6</v>
      </c>
      <c r="J9" s="15">
        <f t="shared" si="7"/>
        <v>0</v>
      </c>
      <c r="K9" s="30">
        <f t="shared" si="8"/>
        <v>22</v>
      </c>
    </row>
    <row r="10" spans="1:11" x14ac:dyDescent="0.3">
      <c r="A10" s="16" t="s">
        <v>57</v>
      </c>
      <c r="B10" s="24">
        <f>Ergebnis!H8</f>
        <v>115</v>
      </c>
      <c r="C10" s="25">
        <f t="shared" si="0"/>
        <v>0.29715762273901808</v>
      </c>
      <c r="D10" s="15" t="str">
        <f t="shared" si="1"/>
        <v>ja</v>
      </c>
      <c r="E10" s="27">
        <f t="shared" si="2"/>
        <v>115</v>
      </c>
      <c r="F10" s="28">
        <f t="shared" si="3"/>
        <v>31.398026315789473</v>
      </c>
      <c r="G10" s="27">
        <f t="shared" si="4"/>
        <v>31</v>
      </c>
      <c r="H10" s="29">
        <f t="shared" si="5"/>
        <v>0.39802631578947256</v>
      </c>
      <c r="I10" s="15">
        <f t="shared" si="6"/>
        <v>4</v>
      </c>
      <c r="J10" s="15">
        <f t="shared" si="7"/>
        <v>0</v>
      </c>
      <c r="K10" s="30">
        <f t="shared" si="8"/>
        <v>31</v>
      </c>
    </row>
    <row r="11" spans="1:11" x14ac:dyDescent="0.3">
      <c r="A11" s="16" t="s">
        <v>59</v>
      </c>
      <c r="B11" s="24">
        <f>Ergebnis!H9</f>
        <v>29</v>
      </c>
      <c r="C11" s="25">
        <f t="shared" si="0"/>
        <v>7.4935400516795869E-2</v>
      </c>
      <c r="D11" s="15" t="str">
        <f t="shared" si="1"/>
        <v>ja</v>
      </c>
      <c r="E11" s="27">
        <f t="shared" si="2"/>
        <v>29</v>
      </c>
      <c r="F11" s="28">
        <f t="shared" si="3"/>
        <v>7.9177631578947372</v>
      </c>
      <c r="G11" s="27">
        <f t="shared" si="4"/>
        <v>7</v>
      </c>
      <c r="H11" s="29">
        <f t="shared" si="5"/>
        <v>0.91776315789473717</v>
      </c>
      <c r="I11" s="15">
        <f t="shared" si="6"/>
        <v>1</v>
      </c>
      <c r="J11" s="15">
        <f t="shared" si="7"/>
        <v>1</v>
      </c>
      <c r="K11" s="30">
        <f t="shared" si="8"/>
        <v>8</v>
      </c>
    </row>
    <row r="12" spans="1:11" x14ac:dyDescent="0.3">
      <c r="A12" s="16" t="s">
        <v>61</v>
      </c>
      <c r="B12" s="24">
        <f>Ergebnis!H10</f>
        <v>28</v>
      </c>
      <c r="C12" s="25">
        <f t="shared" si="0"/>
        <v>7.2351421188630485E-2</v>
      </c>
      <c r="D12" s="15" t="str">
        <f t="shared" si="1"/>
        <v>ja</v>
      </c>
      <c r="E12" s="27">
        <f t="shared" si="2"/>
        <v>28</v>
      </c>
      <c r="F12" s="28">
        <f t="shared" si="3"/>
        <v>7.6447368421052628</v>
      </c>
      <c r="G12" s="27">
        <f t="shared" si="4"/>
        <v>7</v>
      </c>
      <c r="H12" s="29">
        <f t="shared" si="5"/>
        <v>0.64473684210526283</v>
      </c>
      <c r="I12" s="15">
        <f t="shared" si="6"/>
        <v>3</v>
      </c>
      <c r="J12" s="15">
        <f t="shared" si="7"/>
        <v>1</v>
      </c>
      <c r="K12" s="30">
        <f t="shared" si="8"/>
        <v>8</v>
      </c>
    </row>
    <row r="13" spans="1:11" x14ac:dyDescent="0.3">
      <c r="A13" s="16" t="s">
        <v>63</v>
      </c>
      <c r="B13" s="24">
        <f>Ergebnis!H11</f>
        <v>21</v>
      </c>
      <c r="C13" s="25">
        <f t="shared" si="0"/>
        <v>5.4263565891472867E-2</v>
      </c>
      <c r="D13" s="15" t="str">
        <f t="shared" si="1"/>
        <v>ja</v>
      </c>
      <c r="E13" s="27">
        <f t="shared" si="2"/>
        <v>21</v>
      </c>
      <c r="F13" s="28">
        <f t="shared" si="3"/>
        <v>5.7335526315789478</v>
      </c>
      <c r="G13" s="27">
        <f t="shared" si="4"/>
        <v>5</v>
      </c>
      <c r="H13" s="29">
        <f t="shared" si="5"/>
        <v>0.73355263157894779</v>
      </c>
      <c r="I13" s="15">
        <f t="shared" si="6"/>
        <v>2</v>
      </c>
      <c r="J13" s="15">
        <f t="shared" si="7"/>
        <v>1</v>
      </c>
      <c r="K13" s="30">
        <f t="shared" si="8"/>
        <v>6</v>
      </c>
    </row>
    <row r="14" spans="1:11" x14ac:dyDescent="0.3">
      <c r="A14" s="16" t="s">
        <v>66</v>
      </c>
      <c r="B14" s="24">
        <f>Ergebnis!H12</f>
        <v>3</v>
      </c>
      <c r="C14" s="25">
        <f t="shared" si="0"/>
        <v>7.7519379844961239E-3</v>
      </c>
      <c r="D14" s="15" t="str">
        <f t="shared" si="1"/>
        <v>nein</v>
      </c>
      <c r="E14" s="27">
        <f t="shared" si="2"/>
        <v>0</v>
      </c>
      <c r="F14" s="28">
        <f t="shared" si="3"/>
        <v>0</v>
      </c>
      <c r="G14" s="27">
        <f t="shared" si="4"/>
        <v>0</v>
      </c>
      <c r="H14" s="29">
        <f t="shared" si="5"/>
        <v>0</v>
      </c>
      <c r="I14" s="15" t="str">
        <f t="shared" si="6"/>
        <v/>
      </c>
      <c r="J14" s="15">
        <f t="shared" si="7"/>
        <v>0</v>
      </c>
      <c r="K14" s="30">
        <f t="shared" si="8"/>
        <v>0</v>
      </c>
    </row>
    <row r="15" spans="1:11" x14ac:dyDescent="0.3">
      <c r="A15" s="16" t="s">
        <v>69</v>
      </c>
      <c r="B15" s="24">
        <f>Ergebnis!H13</f>
        <v>1</v>
      </c>
      <c r="C15" s="25">
        <f t="shared" si="0"/>
        <v>2.5839793281653748E-3</v>
      </c>
      <c r="D15" s="15" t="str">
        <f t="shared" si="1"/>
        <v>nein</v>
      </c>
      <c r="E15" s="27">
        <f t="shared" si="2"/>
        <v>0</v>
      </c>
      <c r="F15" s="28">
        <f t="shared" si="3"/>
        <v>0</v>
      </c>
      <c r="G15" s="27">
        <f t="shared" si="4"/>
        <v>0</v>
      </c>
      <c r="H15" s="29">
        <f t="shared" si="5"/>
        <v>0</v>
      </c>
      <c r="I15" s="15" t="str">
        <f t="shared" si="6"/>
        <v/>
      </c>
      <c r="J15" s="15">
        <f t="shared" si="7"/>
        <v>0</v>
      </c>
      <c r="K15" s="30">
        <f t="shared" si="8"/>
        <v>0</v>
      </c>
    </row>
    <row r="16" spans="1:11" x14ac:dyDescent="0.3">
      <c r="A16" s="16" t="s">
        <v>71</v>
      </c>
      <c r="B16" s="24">
        <f>Ergebnis!H14</f>
        <v>19</v>
      </c>
      <c r="C16" s="25">
        <f t="shared" si="0"/>
        <v>4.909560723514212E-2</v>
      </c>
      <c r="D16" s="15" t="str">
        <f t="shared" si="1"/>
        <v>nein</v>
      </c>
      <c r="E16" s="27">
        <f t="shared" si="2"/>
        <v>0</v>
      </c>
      <c r="F16" s="28">
        <f t="shared" si="3"/>
        <v>0</v>
      </c>
      <c r="G16" s="27">
        <f t="shared" si="4"/>
        <v>0</v>
      </c>
      <c r="H16" s="29">
        <f t="shared" si="5"/>
        <v>0</v>
      </c>
      <c r="I16" s="15" t="str">
        <f t="shared" si="6"/>
        <v/>
      </c>
      <c r="J16" s="15">
        <f t="shared" si="7"/>
        <v>0</v>
      </c>
      <c r="K16" s="30">
        <f t="shared" si="8"/>
        <v>0</v>
      </c>
    </row>
    <row r="17" spans="1:11" x14ac:dyDescent="0.3">
      <c r="A17" s="16" t="s">
        <v>73</v>
      </c>
      <c r="B17" s="24">
        <f>Ergebnis!H15</f>
        <v>19</v>
      </c>
      <c r="C17" s="25">
        <f t="shared" si="0"/>
        <v>4.909560723514212E-2</v>
      </c>
      <c r="D17" s="15" t="str">
        <f t="shared" si="1"/>
        <v>nein</v>
      </c>
      <c r="E17" s="27">
        <f t="shared" si="2"/>
        <v>0</v>
      </c>
      <c r="F17" s="28">
        <f t="shared" si="3"/>
        <v>0</v>
      </c>
      <c r="G17" s="27">
        <f t="shared" si="4"/>
        <v>0</v>
      </c>
      <c r="H17" s="29">
        <f t="shared" si="5"/>
        <v>0</v>
      </c>
      <c r="I17" s="15" t="str">
        <f t="shared" si="6"/>
        <v/>
      </c>
      <c r="J17" s="15">
        <f t="shared" si="7"/>
        <v>0</v>
      </c>
      <c r="K17" s="30">
        <f t="shared" si="8"/>
        <v>0</v>
      </c>
    </row>
    <row r="18" spans="1:11" x14ac:dyDescent="0.3">
      <c r="A18" s="16" t="s">
        <v>75</v>
      </c>
      <c r="B18" s="24">
        <f>Ergebnis!H16</f>
        <v>4</v>
      </c>
      <c r="C18" s="25">
        <f t="shared" si="0"/>
        <v>1.0335917312661499E-2</v>
      </c>
      <c r="D18" s="15" t="str">
        <f t="shared" si="1"/>
        <v>nein</v>
      </c>
      <c r="E18" s="27">
        <f t="shared" si="2"/>
        <v>0</v>
      </c>
      <c r="F18" s="28">
        <f t="shared" si="3"/>
        <v>0</v>
      </c>
      <c r="G18" s="27">
        <f t="shared" si="4"/>
        <v>0</v>
      </c>
      <c r="H18" s="29">
        <f t="shared" si="5"/>
        <v>0</v>
      </c>
      <c r="I18" s="15" t="str">
        <f t="shared" si="6"/>
        <v/>
      </c>
      <c r="J18" s="15">
        <f t="shared" si="7"/>
        <v>0</v>
      </c>
      <c r="K18" s="30">
        <f t="shared" si="8"/>
        <v>0</v>
      </c>
    </row>
    <row r="19" spans="1:11" x14ac:dyDescent="0.3">
      <c r="A19" s="16" t="s">
        <v>76</v>
      </c>
      <c r="B19" s="24">
        <f>Ergebnis!H17</f>
        <v>7</v>
      </c>
      <c r="C19" s="25">
        <f t="shared" si="0"/>
        <v>1.8087855297157621E-2</v>
      </c>
      <c r="D19" s="15" t="str">
        <f t="shared" si="1"/>
        <v>nein</v>
      </c>
      <c r="E19" s="27">
        <f t="shared" si="2"/>
        <v>0</v>
      </c>
      <c r="F19" s="28">
        <f t="shared" si="3"/>
        <v>0</v>
      </c>
      <c r="G19" s="27">
        <f t="shared" si="4"/>
        <v>0</v>
      </c>
      <c r="H19" s="29">
        <f t="shared" si="5"/>
        <v>0</v>
      </c>
      <c r="I19" s="15" t="str">
        <f t="shared" si="6"/>
        <v/>
      </c>
      <c r="J19" s="15">
        <f t="shared" si="7"/>
        <v>0</v>
      </c>
      <c r="K19" s="30">
        <f t="shared" si="8"/>
        <v>0</v>
      </c>
    </row>
    <row r="20" spans="1:11" x14ac:dyDescent="0.3">
      <c r="A20" s="16" t="s">
        <v>65</v>
      </c>
      <c r="B20" s="24">
        <f>Ergebnis!H18</f>
        <v>18</v>
      </c>
      <c r="C20" s="25">
        <f t="shared" si="0"/>
        <v>4.6511627906976744E-2</v>
      </c>
      <c r="D20" s="15" t="str">
        <f t="shared" si="1"/>
        <v>nein</v>
      </c>
      <c r="E20" s="27">
        <f t="shared" si="2"/>
        <v>0</v>
      </c>
      <c r="F20" s="28">
        <f t="shared" si="3"/>
        <v>0</v>
      </c>
      <c r="G20" s="27">
        <f t="shared" si="4"/>
        <v>0</v>
      </c>
      <c r="H20" s="29">
        <f t="shared" si="5"/>
        <v>0</v>
      </c>
      <c r="I20" s="15" t="str">
        <f t="shared" si="6"/>
        <v/>
      </c>
      <c r="J20" s="15">
        <f t="shared" si="7"/>
        <v>0</v>
      </c>
      <c r="K20" s="30">
        <f t="shared" si="8"/>
        <v>0</v>
      </c>
    </row>
    <row r="21" spans="1:11" x14ac:dyDescent="0.3">
      <c r="A21" s="16" t="s">
        <v>77</v>
      </c>
      <c r="B21" s="24">
        <f>Ergebnis!H19</f>
        <v>4</v>
      </c>
      <c r="C21" s="25">
        <f t="shared" si="0"/>
        <v>1.0335917312661499E-2</v>
      </c>
      <c r="D21" s="15" t="str">
        <f t="shared" si="1"/>
        <v>nein</v>
      </c>
      <c r="E21" s="27">
        <f t="shared" si="2"/>
        <v>0</v>
      </c>
      <c r="F21" s="28">
        <f t="shared" si="3"/>
        <v>0</v>
      </c>
      <c r="G21" s="27">
        <f t="shared" si="4"/>
        <v>0</v>
      </c>
      <c r="H21" s="29">
        <f t="shared" si="5"/>
        <v>0</v>
      </c>
      <c r="I21" s="15" t="str">
        <f t="shared" si="6"/>
        <v/>
      </c>
      <c r="J21" s="15">
        <f t="shared" si="7"/>
        <v>0</v>
      </c>
      <c r="K21" s="30">
        <f t="shared" si="8"/>
        <v>0</v>
      </c>
    </row>
    <row r="22" spans="1:11" x14ac:dyDescent="0.3">
      <c r="A22" s="16" t="s">
        <v>78</v>
      </c>
      <c r="B22" s="24">
        <f>Ergebnis!H20</f>
        <v>8</v>
      </c>
      <c r="C22" s="25">
        <f t="shared" si="0"/>
        <v>2.0671834625322998E-2</v>
      </c>
      <c r="D22" s="15" t="str">
        <f t="shared" si="1"/>
        <v>nein</v>
      </c>
      <c r="E22" s="27">
        <f t="shared" si="2"/>
        <v>0</v>
      </c>
      <c r="F22" s="28">
        <f t="shared" si="3"/>
        <v>0</v>
      </c>
      <c r="G22" s="27">
        <f t="shared" si="4"/>
        <v>0</v>
      </c>
      <c r="H22" s="29">
        <f t="shared" si="5"/>
        <v>0</v>
      </c>
      <c r="I22" s="15" t="str">
        <f t="shared" si="6"/>
        <v/>
      </c>
      <c r="J22" s="15">
        <f t="shared" si="7"/>
        <v>0</v>
      </c>
      <c r="K22" s="30">
        <f t="shared" si="8"/>
        <v>0</v>
      </c>
    </row>
    <row r="24" spans="1:11" x14ac:dyDescent="0.3">
      <c r="A24" s="20" t="s">
        <v>91</v>
      </c>
      <c r="B24" s="21">
        <f>SUM(B8:B22)</f>
        <v>387</v>
      </c>
      <c r="C24" s="19"/>
      <c r="D24" s="19"/>
      <c r="E24" s="21">
        <f>SUM(E8:E22)</f>
        <v>304</v>
      </c>
      <c r="F24" s="19"/>
      <c r="G24" s="21">
        <f>SUM(G8:G22)</f>
        <v>80</v>
      </c>
      <c r="H24" s="19"/>
      <c r="I24" s="19"/>
      <c r="J24" s="21">
        <f>SUM(J8:J22)</f>
        <v>3</v>
      </c>
      <c r="K24" s="21">
        <f>SUM(K8:K22)</f>
        <v>83</v>
      </c>
    </row>
    <row r="25" spans="1:11" x14ac:dyDescent="0.3">
      <c r="A25" s="5" t="s">
        <v>108</v>
      </c>
      <c r="B25" s="21">
        <f>$B$4-G24</f>
        <v>3</v>
      </c>
    </row>
    <row r="27" spans="1:11" x14ac:dyDescent="0.3">
      <c r="A27" s="9" t="s">
        <v>109</v>
      </c>
      <c r="B27" s="21">
        <f>INT($B$4/2)+1</f>
        <v>42</v>
      </c>
      <c r="C27" s="11" t="s">
        <v>110</v>
      </c>
    </row>
    <row r="29" spans="1:11" ht="25.5" customHeight="1" x14ac:dyDescent="0.3">
      <c r="A29" s="1" t="s">
        <v>111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5.5" customHeight="1" x14ac:dyDescent="0.3">
      <c r="A30" s="1" t="s">
        <v>112</v>
      </c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5.5" customHeight="1" x14ac:dyDescent="0.3">
      <c r="A31" s="1" t="s">
        <v>113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25.5" customHeight="1" x14ac:dyDescent="0.3">
      <c r="A32" s="1" t="s">
        <v>114</v>
      </c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mergeCells count="4">
    <mergeCell ref="A29:K29"/>
    <mergeCell ref="A30:K30"/>
    <mergeCell ref="A31:K31"/>
    <mergeCell ref="A32:K32"/>
  </mergeCells>
  <pageMargins left="0.4" right="0.4" top="0.5" bottom="0.5" header="0.511811023622047" footer="0.511811023622047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F3864"/>
    <pageSetUpPr fitToPage="1"/>
  </sheetPr>
  <dimension ref="A1:F24"/>
  <sheetViews>
    <sheetView showGridLines="0" zoomScaleNormal="100" workbookViewId="0"/>
  </sheetViews>
  <sheetFormatPr baseColWidth="10" defaultColWidth="8.6640625" defaultRowHeight="14.4" x14ac:dyDescent="0.3"/>
  <cols>
    <col min="1" max="1" width="22" customWidth="1"/>
    <col min="2" max="2" width="15" customWidth="1"/>
    <col min="3" max="5" width="17" customWidth="1"/>
    <col min="6" max="6" width="18" customWidth="1"/>
  </cols>
  <sheetData>
    <row r="1" spans="1:6" ht="21" x14ac:dyDescent="0.4">
      <c r="A1" s="2" t="s">
        <v>115</v>
      </c>
    </row>
    <row r="2" spans="1:6" x14ac:dyDescent="0.3">
      <c r="A2" s="3" t="s">
        <v>116</v>
      </c>
    </row>
    <row r="4" spans="1:6" ht="31.5" customHeight="1" x14ac:dyDescent="0.3">
      <c r="A4" s="14" t="s">
        <v>50</v>
      </c>
      <c r="B4" s="14" t="s">
        <v>117</v>
      </c>
      <c r="C4" s="14" t="s">
        <v>118</v>
      </c>
      <c r="D4" s="14" t="s">
        <v>119</v>
      </c>
      <c r="E4" s="14" t="s">
        <v>120</v>
      </c>
      <c r="F4" s="14" t="s">
        <v>121</v>
      </c>
    </row>
    <row r="5" spans="1:6" x14ac:dyDescent="0.3">
      <c r="A5" s="16" t="s">
        <v>53</v>
      </c>
      <c r="B5" s="25">
        <f>IF(Ergebnis!I6="","",Ergebnis!I6)</f>
        <v>7.7519379844961239E-2</v>
      </c>
      <c r="C5" s="27">
        <f>Sitzverteilung!K8</f>
        <v>8</v>
      </c>
      <c r="D5" s="25">
        <v>0.371</v>
      </c>
      <c r="E5" s="26"/>
      <c r="F5" s="31" t="str">
        <f t="shared" ref="F5:F19" si="0">IF(OR(E5="",B5=""),"",B5-E5)</f>
        <v/>
      </c>
    </row>
    <row r="6" spans="1:6" x14ac:dyDescent="0.3">
      <c r="A6" s="16" t="s">
        <v>55</v>
      </c>
      <c r="B6" s="25">
        <f>IF(Ergebnis!I7="","",Ergebnis!I7)</f>
        <v>0.20930232558139536</v>
      </c>
      <c r="C6" s="27">
        <f>Sitzverteilung!K9</f>
        <v>22</v>
      </c>
      <c r="D6" s="25">
        <v>0.20799999999999999</v>
      </c>
      <c r="E6" s="26"/>
      <c r="F6" s="31" t="str">
        <f t="shared" si="0"/>
        <v/>
      </c>
    </row>
    <row r="7" spans="1:6" x14ac:dyDescent="0.3">
      <c r="A7" s="16" t="s">
        <v>57</v>
      </c>
      <c r="B7" s="25">
        <f>IF(Ergebnis!I8="","",Ergebnis!I8)</f>
        <v>0.29715762273901808</v>
      </c>
      <c r="C7" s="27">
        <f>Sitzverteilung!K10</f>
        <v>31</v>
      </c>
      <c r="D7" s="25">
        <v>0.11</v>
      </c>
      <c r="E7" s="26"/>
      <c r="F7" s="31" t="str">
        <f t="shared" si="0"/>
        <v/>
      </c>
    </row>
    <row r="8" spans="1:6" x14ac:dyDescent="0.3">
      <c r="A8" s="16" t="s">
        <v>59</v>
      </c>
      <c r="B8" s="25">
        <f>IF(Ergebnis!I9="","",Ergebnis!I9)</f>
        <v>7.4935400516795869E-2</v>
      </c>
      <c r="C8" s="27">
        <f>Sitzverteilung!K11</f>
        <v>8</v>
      </c>
      <c r="D8" s="25">
        <v>8.4000000000000005E-2</v>
      </c>
      <c r="E8" s="26"/>
      <c r="F8" s="31" t="str">
        <f t="shared" si="0"/>
        <v/>
      </c>
    </row>
    <row r="9" spans="1:6" x14ac:dyDescent="0.3">
      <c r="A9" s="16" t="s">
        <v>61</v>
      </c>
      <c r="B9" s="25">
        <f>IF(Ergebnis!I10="","",Ergebnis!I10)</f>
        <v>7.2351421188630485E-2</v>
      </c>
      <c r="C9" s="27">
        <f>Sitzverteilung!K12</f>
        <v>8</v>
      </c>
      <c r="D9" s="25">
        <v>6.4000000000000001E-2</v>
      </c>
      <c r="E9" s="26"/>
      <c r="F9" s="31" t="str">
        <f t="shared" si="0"/>
        <v/>
      </c>
    </row>
    <row r="10" spans="1:6" x14ac:dyDescent="0.3">
      <c r="A10" s="16" t="s">
        <v>63</v>
      </c>
      <c r="B10" s="25">
        <f>IF(Ergebnis!I11="","",Ergebnis!I11)</f>
        <v>5.4263565891472867E-2</v>
      </c>
      <c r="C10" s="27">
        <f>Sitzverteilung!K13</f>
        <v>6</v>
      </c>
      <c r="D10" s="25">
        <v>5.8999999999999997E-2</v>
      </c>
      <c r="E10" s="26"/>
      <c r="F10" s="31" t="str">
        <f t="shared" si="0"/>
        <v/>
      </c>
    </row>
    <row r="11" spans="1:6" x14ac:dyDescent="0.3">
      <c r="A11" s="16" t="s">
        <v>66</v>
      </c>
      <c r="B11" s="25">
        <f>IF(Ergebnis!I12="","",Ergebnis!I12)</f>
        <v>7.7519379844961239E-3</v>
      </c>
      <c r="C11" s="27">
        <f>Sitzverteilung!K14</f>
        <v>0</v>
      </c>
      <c r="D11" s="15" t="s">
        <v>122</v>
      </c>
      <c r="E11" s="26"/>
      <c r="F11" s="31" t="str">
        <f t="shared" si="0"/>
        <v/>
      </c>
    </row>
    <row r="12" spans="1:6" x14ac:dyDescent="0.3">
      <c r="A12" s="16" t="s">
        <v>69</v>
      </c>
      <c r="B12" s="25">
        <f>IF(Ergebnis!I13="","",Ergebnis!I13)</f>
        <v>2.5839793281653748E-3</v>
      </c>
      <c r="C12" s="27">
        <f>Sitzverteilung!K15</f>
        <v>0</v>
      </c>
      <c r="D12" s="15" t="s">
        <v>122</v>
      </c>
      <c r="E12" s="26"/>
      <c r="F12" s="31" t="str">
        <f t="shared" si="0"/>
        <v/>
      </c>
    </row>
    <row r="13" spans="1:6" x14ac:dyDescent="0.3">
      <c r="A13" s="16" t="s">
        <v>71</v>
      </c>
      <c r="B13" s="25">
        <f>IF(Ergebnis!I14="","",Ergebnis!I14)</f>
        <v>4.909560723514212E-2</v>
      </c>
      <c r="C13" s="27">
        <f>Sitzverteilung!K16</f>
        <v>0</v>
      </c>
      <c r="D13" s="15" t="s">
        <v>122</v>
      </c>
      <c r="E13" s="26"/>
      <c r="F13" s="31" t="str">
        <f t="shared" si="0"/>
        <v/>
      </c>
    </row>
    <row r="14" spans="1:6" x14ac:dyDescent="0.3">
      <c r="A14" s="16" t="s">
        <v>73</v>
      </c>
      <c r="B14" s="25">
        <f>IF(Ergebnis!I15="","",Ergebnis!I15)</f>
        <v>4.909560723514212E-2</v>
      </c>
      <c r="C14" s="27">
        <f>Sitzverteilung!K17</f>
        <v>0</v>
      </c>
      <c r="D14" s="15" t="s">
        <v>122</v>
      </c>
      <c r="E14" s="26"/>
      <c r="F14" s="31" t="str">
        <f t="shared" si="0"/>
        <v/>
      </c>
    </row>
    <row r="15" spans="1:6" x14ac:dyDescent="0.3">
      <c r="A15" s="16" t="s">
        <v>75</v>
      </c>
      <c r="B15" s="25">
        <f>IF(Ergebnis!I16="","",Ergebnis!I16)</f>
        <v>1.0335917312661499E-2</v>
      </c>
      <c r="C15" s="27">
        <f>Sitzverteilung!K18</f>
        <v>0</v>
      </c>
      <c r="D15" s="15" t="s">
        <v>122</v>
      </c>
      <c r="E15" s="26"/>
      <c r="F15" s="31" t="str">
        <f t="shared" si="0"/>
        <v/>
      </c>
    </row>
    <row r="16" spans="1:6" x14ac:dyDescent="0.3">
      <c r="A16" s="16" t="s">
        <v>76</v>
      </c>
      <c r="B16" s="25">
        <f>IF(Ergebnis!I17="","",Ergebnis!I17)</f>
        <v>1.8087855297157621E-2</v>
      </c>
      <c r="C16" s="27">
        <f>Sitzverteilung!K19</f>
        <v>0</v>
      </c>
      <c r="D16" s="15" t="s">
        <v>122</v>
      </c>
      <c r="E16" s="26"/>
      <c r="F16" s="31" t="str">
        <f t="shared" si="0"/>
        <v/>
      </c>
    </row>
    <row r="17" spans="1:6" x14ac:dyDescent="0.3">
      <c r="A17" s="16" t="s">
        <v>65</v>
      </c>
      <c r="B17" s="25">
        <f>IF(Ergebnis!I18="","",Ergebnis!I18)</f>
        <v>4.6511627906976744E-2</v>
      </c>
      <c r="C17" s="27">
        <f>Sitzverteilung!K20</f>
        <v>0</v>
      </c>
      <c r="D17" s="15" t="s">
        <v>122</v>
      </c>
      <c r="E17" s="26"/>
      <c r="F17" s="31" t="str">
        <f t="shared" si="0"/>
        <v/>
      </c>
    </row>
    <row r="18" spans="1:6" x14ac:dyDescent="0.3">
      <c r="A18" s="16" t="s">
        <v>77</v>
      </c>
      <c r="B18" s="25">
        <f>IF(Ergebnis!I19="","",Ergebnis!I19)</f>
        <v>1.0335917312661499E-2</v>
      </c>
      <c r="C18" s="27">
        <f>Sitzverteilung!K21</f>
        <v>0</v>
      </c>
      <c r="D18" s="15" t="s">
        <v>122</v>
      </c>
      <c r="E18" s="26"/>
      <c r="F18" s="31" t="str">
        <f t="shared" si="0"/>
        <v/>
      </c>
    </row>
    <row r="19" spans="1:6" x14ac:dyDescent="0.3">
      <c r="A19" s="16" t="s">
        <v>78</v>
      </c>
      <c r="B19" s="25">
        <f>IF(Ergebnis!I20="","",Ergebnis!I20)</f>
        <v>2.0671834625322998E-2</v>
      </c>
      <c r="C19" s="27">
        <f>Sitzverteilung!K22</f>
        <v>0</v>
      </c>
      <c r="D19" s="15" t="s">
        <v>122</v>
      </c>
      <c r="E19" s="26"/>
      <c r="F19" s="31" t="str">
        <f t="shared" si="0"/>
        <v/>
      </c>
    </row>
    <row r="21" spans="1:6" x14ac:dyDescent="0.3">
      <c r="A21" s="20" t="s">
        <v>38</v>
      </c>
      <c r="B21" s="12">
        <f>IF(Ergebnis!B7="","",Ergebnis!B7)</f>
        <v>0.95443645083932849</v>
      </c>
      <c r="C21" s="19"/>
      <c r="D21" s="12">
        <f>Beteiligung!B11</f>
        <v>0.60499999999999998</v>
      </c>
      <c r="E21" s="26"/>
      <c r="F21" s="32" t="str">
        <f>IF(OR(E21="",B21=""),"",B21-E21)</f>
        <v/>
      </c>
    </row>
    <row r="23" spans="1:6" ht="30" customHeight="1" x14ac:dyDescent="0.3">
      <c r="A23" s="1" t="s">
        <v>123</v>
      </c>
      <c r="B23" s="1"/>
      <c r="C23" s="1"/>
      <c r="D23" s="1"/>
      <c r="E23" s="1"/>
      <c r="F23" s="1"/>
    </row>
    <row r="24" spans="1:6" ht="30" customHeight="1" x14ac:dyDescent="0.3">
      <c r="A24" s="1" t="s">
        <v>124</v>
      </c>
      <c r="B24" s="1"/>
      <c r="C24" s="1"/>
      <c r="D24" s="1"/>
      <c r="E24" s="1"/>
      <c r="F24" s="1"/>
    </row>
  </sheetData>
  <mergeCells count="2">
    <mergeCell ref="A23:F23"/>
    <mergeCell ref="A24:F24"/>
  </mergeCells>
  <pageMargins left="0.4" right="0.4" top="0.5" bottom="0.5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Anleitung</vt:lpstr>
      <vt:lpstr>Beteiligung</vt:lpstr>
      <vt:lpstr>Auszählung</vt:lpstr>
      <vt:lpstr>Ergebnis</vt:lpstr>
      <vt:lpstr>Sitzverteilung</vt:lpstr>
      <vt:lpstr>Vergleich</vt:lpstr>
      <vt:lpstr>Auszählung!Druckbereich</vt:lpstr>
      <vt:lpstr>Beteiligung!Druckbereich</vt:lpstr>
      <vt:lpstr>Ergebnis!Druckbereich</vt:lpstr>
      <vt:lpstr>Sitzverteilung!Druckbereich</vt:lpstr>
      <vt:lpstr>Vergleich!Druckbereich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Peter Langhoff</cp:lastModifiedBy>
  <cp:revision>1</cp:revision>
  <dcterms:created xsi:type="dcterms:W3CDTF">2026-08-25T15:52:52Z</dcterms:created>
  <dcterms:modified xsi:type="dcterms:W3CDTF">2026-09-04T11:36:20Z</dcterms:modified>
  <dc:language>en-US</dc:language>
</cp:coreProperties>
</file>